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566" yWindow="60" windowWidth="13260" windowHeight="9360" activeTab="0"/>
  </bookViews>
  <sheets>
    <sheet name="2 groups or statistics" sheetId="1" r:id="rId1"/>
    <sheet name="1 or more groups or statistics" sheetId="2" r:id="rId2"/>
    <sheet name="Bayesian analyses" sheetId="3" r:id="rId3"/>
  </sheets>
  <definedNames>
    <definedName name="_1" localSheetId="2">'Bayesian analyses'!#REF!</definedName>
    <definedName name="_1">'2 groups or statistics'!$A$88</definedName>
    <definedName name="_1x">'1 or more groups or statistics'!$A$66</definedName>
    <definedName name="_2" localSheetId="2">'Bayesian analyses'!$A$89</definedName>
    <definedName name="_2">'2 groups or statistics'!$A$119</definedName>
    <definedName name="_2x">'1 or more groups or statistics'!$A$93</definedName>
    <definedName name="_3" localSheetId="2">'Bayesian analyses'!$A$120</definedName>
    <definedName name="_3">'2 groups or statistics'!$A$147</definedName>
    <definedName name="_3x">'1 or more groups or statistics'!$A$117</definedName>
    <definedName name="_4" localSheetId="2">'Bayesian analyses'!$A$143</definedName>
    <definedName name="_4">'2 groups or statistics'!$A$177</definedName>
    <definedName name="_4x">'1 or more groups or statistics'!$A$144</definedName>
    <definedName name="_xlfn.T.DIST" hidden="1">#NAME?</definedName>
    <definedName name="_xlfn.T.DIST.2T" hidden="1">#NAME?</definedName>
    <definedName name="_xlfn.T.DIST.RT" hidden="1">#NAME?</definedName>
    <definedName name="_xlfn.T.INV" hidden="1">#NAME?</definedName>
    <definedName name="solver_adj" localSheetId="2" hidden="1">'Bayesian analyses'!$E$117,'Bayesian analyses'!$H$117</definedName>
    <definedName name="solver_cvg" localSheetId="2" hidden="1">0.0001</definedName>
    <definedName name="solver_drv" localSheetId="2" hidden="1">2</definedName>
    <definedName name="solver_eng" localSheetId="2" hidden="1">1</definedName>
    <definedName name="solver_est" localSheetId="2" hidden="1">1</definedName>
    <definedName name="solver_itr" localSheetId="2" hidden="1">2147483647</definedName>
    <definedName name="solver_lhs1" localSheetId="2" hidden="1">'Bayesian analyses'!$E$140</definedName>
    <definedName name="solver_lhs2" localSheetId="2" hidden="1">'Bayesian analyses'!$E$140</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2</definedName>
    <definedName name="solver_nod" localSheetId="2" hidden="1">2147483647</definedName>
    <definedName name="solver_num" localSheetId="2" hidden="1">0</definedName>
    <definedName name="solver_nwt" localSheetId="2" hidden="1">1</definedName>
    <definedName name="solver_opt" localSheetId="2" hidden="1">'Bayesian analyses'!$H$107</definedName>
    <definedName name="solver_pre" localSheetId="2" hidden="1">0.000001</definedName>
    <definedName name="solver_rbv" localSheetId="2" hidden="1">2</definedName>
    <definedName name="solver_rel1" localSheetId="2" hidden="1">3</definedName>
    <definedName name="solver_rel2" localSheetId="2" hidden="1">3</definedName>
    <definedName name="solver_rhs1" localSheetId="2" hidden="1">4</definedName>
    <definedName name="solver_rhs2" localSheetId="2" hidden="1">4</definedName>
    <definedName name="solver_rlx" localSheetId="2" hidden="1">2</definedName>
    <definedName name="solver_rsd" localSheetId="2" hidden="1">0</definedName>
    <definedName name="solver_scl" localSheetId="2" hidden="1">2</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2</definedName>
    <definedName name="solver_val" localSheetId="2" hidden="1">0</definedName>
    <definedName name="solver_ver" localSheetId="2" hidden="1">3</definedName>
  </definedNames>
  <calcPr fullCalcOnLoad="1"/>
</workbook>
</file>

<file path=xl/comments1.xml><?xml version="1.0" encoding="utf-8"?>
<comments xmlns="http://schemas.openxmlformats.org/spreadsheetml/2006/main">
  <authors>
    <author>Reviewer</author>
    <author>Will</author>
  </authors>
  <commentList>
    <comment ref="B3" authorId="0">
      <text>
        <r>
          <rPr>
            <sz val="8"/>
            <rFont val="Tahoma"/>
            <family val="2"/>
          </rPr>
          <t>Reference and more info:  Hopkins WG (2006).  A spreadsheet for combining outcomes from several subject groups. Sportscience 10, 50-53 (sportsci.org/2006/wghcom.htm).</t>
        </r>
      </text>
    </comment>
    <comment ref="E36" authorId="0">
      <text>
        <r>
          <rPr>
            <sz val="8"/>
            <rFont val="Tahoma"/>
            <family val="2"/>
          </rPr>
          <t>The chance of harm has to be less than this value for an effect to be clinically beneficial.  That is, the effect can be clinically beneficial only when it is most unlikely to be harmful.</t>
        </r>
      </text>
    </comment>
    <comment ref="I36" authorId="0">
      <text>
        <r>
          <rPr>
            <sz val="8"/>
            <rFont val="Tahoma"/>
            <family val="2"/>
          </rPr>
          <t>The chance of benefit has to be greater than this value for an effect to be potentially clinically beneficial.  That is, the effect can be clinically beneficial only when it is at least possibly beneficial.</t>
        </r>
      </text>
    </comment>
    <comment ref="G36" authorId="0">
      <text>
        <r>
          <rPr>
            <sz val="8"/>
            <rFont val="Tahoma"/>
            <family val="2"/>
          </rPr>
          <t>For a non-clinical effect to have adequate precision, the chance that the true effect is substantially positive OR the chance that the true effect is substantially negative has to be less than this value.  That is, the effect has adequate precision when the true effect is either very unlikely to be positive or very unlikely to be negative.
This value also sets the level for the "wanted" confidence limits: 5 produces 90% limits, 2.5 produces 95% limits, and so on.</t>
        </r>
      </text>
    </comment>
    <comment ref="Y161" authorId="1">
      <text>
        <r>
          <rPr>
            <sz val="9"/>
            <rFont val="Tahoma"/>
            <family val="2"/>
          </rPr>
          <t>This cell will show an error if one of the chances is practically zero.</t>
        </r>
      </text>
    </comment>
    <comment ref="M163" authorId="0">
      <text>
        <r>
          <rPr>
            <sz val="8"/>
            <rFont val="Tahoma"/>
            <family val="2"/>
          </rPr>
          <t>The value shown is the Fisher back-transformed value of the mean of the Fisher transformed values, so it will not agree exactly with the mean of the raw values.</t>
        </r>
      </text>
    </comment>
    <comment ref="D163" authorId="1">
      <text>
        <r>
          <rPr>
            <sz val="9"/>
            <rFont val="Tahoma"/>
            <family val="2"/>
          </rPr>
          <t>Message appears here if one of the effects is exactly 0.</t>
        </r>
      </text>
    </comment>
    <comment ref="Y164" authorId="1">
      <text>
        <r>
          <rPr>
            <sz val="9"/>
            <rFont val="Tahoma"/>
            <family val="2"/>
          </rPr>
          <t>This cell will show an error if one of the chances is practically zero.</t>
        </r>
      </text>
    </comment>
    <comment ref="Y171" authorId="1">
      <text>
        <r>
          <rPr>
            <sz val="9"/>
            <rFont val="Tahoma"/>
            <family val="2"/>
          </rPr>
          <t>This cell will show an error if one of the chances is practically zero.</t>
        </r>
      </text>
    </comment>
    <comment ref="M173" authorId="0">
      <text>
        <r>
          <rPr>
            <sz val="8"/>
            <rFont val="Tahoma"/>
            <family val="2"/>
          </rPr>
          <t>The value shown is the Fisher back-transformed value of the mean of the Fisher transformed values, so it will not agree exactly with the mean of the raw values.</t>
        </r>
      </text>
    </comment>
    <comment ref="Y174" authorId="1">
      <text>
        <r>
          <rPr>
            <sz val="9"/>
            <rFont val="Tahoma"/>
            <family val="2"/>
          </rPr>
          <t>This cell will show an error if one of the chances is practically zero.</t>
        </r>
      </text>
    </comment>
    <comment ref="I4" authorId="1">
      <text>
        <r>
          <rPr>
            <sz val="9"/>
            <rFont val="Tahoma"/>
            <family val="2"/>
          </rPr>
          <t>March: The method of combining correlations is now based on the assumption that the sampling distribution of the effect in correlation units is normal, using the z statistic from the effect derived for Fisher-transformed correlations.  The confidence limits for a simple correlation (not a combined correlation) will therefore differ slightly from those provided by the spreadsheet for converting p values to MBI, which are exact.  Exact confidence limits and MBI chances for combined correlations can be derived only by bootstrapping.</t>
        </r>
      </text>
    </comment>
    <comment ref="K4" authorId="0">
      <text>
        <r>
          <rPr>
            <sz val="8"/>
            <rFont val="Tahoma"/>
            <family val="2"/>
          </rPr>
          <t>Oct: included customizable clinical and mechanistic inferences.</t>
        </r>
      </text>
    </comment>
    <comment ref="J4" authorId="0">
      <text>
        <r>
          <rPr>
            <sz val="8"/>
            <rFont val="Tahoma"/>
            <family val="2"/>
          </rPr>
          <t>July: added inferences arising from the addition (simultaneous use) of effects.
July: improved the titles over some inferences.
April: added odds ratios for benefit/harm and how to use them.</t>
        </r>
      </text>
    </comment>
    <comment ref="D173" authorId="1">
      <text>
        <r>
          <rPr>
            <sz val="9"/>
            <rFont val="Tahoma"/>
            <family val="2"/>
          </rPr>
          <t>Message appears here if one of the effects is exactly 0.</t>
        </r>
      </text>
    </comment>
    <comment ref="H4" authorId="1">
      <text>
        <r>
          <rPr>
            <sz val="9"/>
            <rFont val="Tahoma"/>
            <family val="2"/>
          </rPr>
          <t>March: Spreadsheet added for Bayesian analyses. Also cells that show when an unclear clinical effect can be considered clear according to the odds ratio of benefit/harm.</t>
        </r>
      </text>
    </comment>
    <comment ref="G4" authorId="1">
      <text>
        <r>
          <rPr>
            <b/>
            <sz val="9"/>
            <rFont val="Tahoma"/>
            <family val="2"/>
          </rPr>
          <t>Feb:</t>
        </r>
        <r>
          <rPr>
            <sz val="9"/>
            <rFont val="Tahoma"/>
            <family val="2"/>
          </rPr>
          <t xml:space="preserve"> </t>
        </r>
        <r>
          <rPr>
            <i/>
            <sz val="9"/>
            <rFont val="Tahoma"/>
            <family val="2"/>
          </rPr>
          <t>Confidence</t>
        </r>
        <r>
          <rPr>
            <sz val="9"/>
            <rFont val="Tahoma"/>
            <family val="2"/>
          </rPr>
          <t xml:space="preserve"> replaced by </t>
        </r>
        <r>
          <rPr>
            <i/>
            <sz val="9"/>
            <rFont val="Tahoma"/>
            <family val="2"/>
          </rPr>
          <t>compatibility.</t>
        </r>
        <r>
          <rPr>
            <sz val="9"/>
            <rFont val="Tahoma"/>
            <family val="2"/>
          </rPr>
          <t xml:space="preserve"> Effects previously described as clear now described as effects with adequate precision. </t>
        </r>
        <r>
          <rPr>
            <i/>
            <sz val="9"/>
            <rFont val="Tahoma"/>
            <family val="2"/>
          </rPr>
          <t>(Clear</t>
        </r>
        <r>
          <rPr>
            <sz val="9"/>
            <rFont val="Tahoma"/>
            <family val="2"/>
          </rPr>
          <t xml:space="preserve"> should be reserved for effects that are very or most likely substantial or trivial.). For clinical effects with adequate precision, </t>
        </r>
        <r>
          <rPr>
            <i/>
            <sz val="9"/>
            <rFont val="Tahoma"/>
            <family val="2"/>
          </rPr>
          <t>use</t>
        </r>
        <r>
          <rPr>
            <sz val="9"/>
            <rFont val="Tahoma"/>
            <family val="2"/>
          </rPr>
          <t xml:space="preserve"> has been replaced by </t>
        </r>
        <r>
          <rPr>
            <i/>
            <sz val="9"/>
            <rFont val="Tahoma"/>
            <family val="2"/>
          </rPr>
          <t>consider using</t>
        </r>
        <r>
          <rPr>
            <sz val="9"/>
            <rFont val="Tahoma"/>
            <family val="2"/>
          </rPr>
          <t>.</t>
        </r>
      </text>
    </comment>
    <comment ref="F4" authorId="1">
      <text>
        <r>
          <rPr>
            <b/>
            <sz val="9"/>
            <rFont val="Tahoma"/>
            <family val="2"/>
          </rPr>
          <t xml:space="preserve">Dec: </t>
        </r>
        <r>
          <rPr>
            <sz val="9"/>
            <rFont val="Tahoma"/>
            <family val="2"/>
          </rPr>
          <t xml:space="preserve">More minotr edits, and I replaced most occurrences of </t>
        </r>
        <r>
          <rPr>
            <i/>
            <sz val="9"/>
            <rFont val="Tahoma"/>
            <family val="2"/>
          </rPr>
          <t>compatibility</t>
        </r>
        <r>
          <rPr>
            <sz val="9"/>
            <rFont val="Tahoma"/>
            <family val="2"/>
          </rPr>
          <t xml:space="preserve"> with </t>
        </r>
        <r>
          <rPr>
            <i/>
            <sz val="9"/>
            <rFont val="Tahoma"/>
            <family val="2"/>
          </rPr>
          <t>confidence.</t>
        </r>
        <r>
          <rPr>
            <sz val="9"/>
            <rFont val="Tahoma"/>
            <family val="2"/>
          </rPr>
          <t xml:space="preserve">
</t>
        </r>
        <r>
          <rPr>
            <b/>
            <sz val="9"/>
            <rFont val="Tahoma"/>
            <family val="2"/>
          </rPr>
          <t xml:space="preserve">
Oct:</t>
        </r>
        <r>
          <rPr>
            <sz val="9"/>
            <rFont val="Tahoma"/>
            <family val="2"/>
          </rPr>
          <t xml:space="preserve"> Minor edits of the explanations and comments.</t>
        </r>
      </text>
    </comment>
  </commentList>
</comments>
</file>

<file path=xl/comments2.xml><?xml version="1.0" encoding="utf-8"?>
<comments xmlns="http://schemas.openxmlformats.org/spreadsheetml/2006/main">
  <authors>
    <author>Reviewer</author>
    <author>Will</author>
  </authors>
  <commentList>
    <comment ref="N50" authorId="0">
      <text>
        <r>
          <rPr>
            <sz val="8"/>
            <rFont val="Tahoma"/>
            <family val="2"/>
          </rPr>
          <t>This is the mean effect for all values, whether or not there is a custom weight.</t>
        </r>
      </text>
    </comment>
    <comment ref="N61" authorId="0">
      <text>
        <r>
          <rPr>
            <sz val="8"/>
            <rFont val="Tahoma"/>
            <family val="2"/>
          </rPr>
          <t>This is the mean effect for all values, whether or not there is a custom weight.</t>
        </r>
      </text>
    </comment>
    <comment ref="N77" authorId="0">
      <text>
        <r>
          <rPr>
            <sz val="8"/>
            <rFont val="Tahoma"/>
            <family val="2"/>
          </rPr>
          <t>This is the mean effect for all values, whether or not there is a custom weight.</t>
        </r>
      </text>
    </comment>
    <comment ref="N88" authorId="0">
      <text>
        <r>
          <rPr>
            <sz val="8"/>
            <rFont val="Tahoma"/>
            <family val="2"/>
          </rPr>
          <t>This is the mean effect for all values, whether or not there is a custom weight.</t>
        </r>
      </text>
    </comment>
    <comment ref="N102" authorId="0">
      <text>
        <r>
          <rPr>
            <sz val="8"/>
            <rFont val="Tahoma"/>
            <family val="2"/>
          </rPr>
          <t>This is the mean effect for all values, whether or not there is a custom weight.</t>
        </r>
      </text>
    </comment>
    <comment ref="N113" authorId="0">
      <text>
        <r>
          <rPr>
            <sz val="8"/>
            <rFont val="Tahoma"/>
            <family val="2"/>
          </rPr>
          <t>This is the mean effect for all values, whether or not there is a custom weight.</t>
        </r>
      </text>
    </comment>
    <comment ref="N124" authorId="0">
      <text>
        <r>
          <rPr>
            <sz val="8"/>
            <rFont val="Tahoma"/>
            <family val="2"/>
          </rPr>
          <t>A value will not be displayed if there is no value in the cell "Evaluate custom effect at:"</t>
        </r>
      </text>
    </comment>
    <comment ref="N127" authorId="0">
      <text>
        <r>
          <rPr>
            <sz val="8"/>
            <rFont val="Tahoma"/>
            <family val="2"/>
          </rPr>
          <t xml:space="preserve">This is the mean effect for all values, whether or not there is a custom weight.
The value shown is the Fisher back-transformed value of the mean of all the Fisher transformed values, so it will not agree exactly with the mean of all the raw values.
</t>
        </r>
      </text>
    </comment>
    <comment ref="N136" authorId="0">
      <text>
        <r>
          <rPr>
            <sz val="8"/>
            <rFont val="Tahoma"/>
            <family val="2"/>
          </rPr>
          <t>A value will not be displayed if there is no value in the cell "Evaluate custom effect at:"</t>
        </r>
      </text>
    </comment>
    <comment ref="N139" authorId="0">
      <text>
        <r>
          <rPr>
            <sz val="8"/>
            <rFont val="Tahoma"/>
            <family val="2"/>
          </rPr>
          <t xml:space="preserve">This is the mean effect for all values, whether or not there is a custom weight.
The value shown is the Fisher back-transformed value of the mean of all the Fisher transformed values, so it will not agree exactly with the mean of all the raw values.
</t>
        </r>
      </text>
    </comment>
    <comment ref="N143" authorId="1">
      <text>
        <r>
          <rPr>
            <sz val="9"/>
            <rFont val="Tahoma"/>
            <family val="2"/>
          </rPr>
          <t>Message appears here if custom effect or mean effect is exactly 0.</t>
        </r>
      </text>
    </comment>
    <comment ref="N131" authorId="1">
      <text>
        <r>
          <rPr>
            <sz val="9"/>
            <rFont val="Tahoma"/>
            <family val="2"/>
          </rPr>
          <t>Message appears here if custom effect or mean effect is exactly 0.</t>
        </r>
      </text>
    </comment>
    <comment ref="E37" authorId="0">
      <text>
        <r>
          <rPr>
            <sz val="8"/>
            <rFont val="Tahoma"/>
            <family val="2"/>
          </rPr>
          <t>The chance of harm has to be less than this value for an effect to be clinically beneficial.  That is, the effect can be clinically beneficial only when it is most unlikely to be harmful.</t>
        </r>
      </text>
    </comment>
    <comment ref="G37" authorId="0">
      <text>
        <r>
          <rPr>
            <sz val="8"/>
            <rFont val="Tahoma"/>
            <family val="2"/>
          </rPr>
          <t>For a non-clinical effect to have adequate precision, the chance that the true effect is substantially positive OR the chance that the true effect is substantially negative has to be less than this value.  That is, the effect has adequate precision when the true effect is either very unlikely to be positive or very unlikely to be negative.
This value also sets the level for the "wanted" confidence limits: 5 produces 90% limits, 2.5 produces 95% limits, and so on.</t>
        </r>
      </text>
    </comment>
    <comment ref="I37" authorId="0">
      <text>
        <r>
          <rPr>
            <sz val="8"/>
            <rFont val="Tahoma"/>
            <family val="2"/>
          </rPr>
          <t>The chance of benefit has to be greater than this value for an effect to be potentially clinically beneficial.  That is, the effect can be clinically beneficial only when it is at least possibly beneficial.</t>
        </r>
      </text>
    </comment>
  </commentList>
</comments>
</file>

<file path=xl/comments3.xml><?xml version="1.0" encoding="utf-8"?>
<comments xmlns="http://schemas.openxmlformats.org/spreadsheetml/2006/main">
  <authors>
    <author>Reviewer</author>
    <author>Will</author>
    <author>William Hopkins</author>
  </authors>
  <commentList>
    <comment ref="B4" authorId="0">
      <text>
        <r>
          <rPr>
            <sz val="8"/>
            <rFont val="Tahoma"/>
            <family val="2"/>
          </rPr>
          <t>Reference and more info:  Hopkins WG (2019).  A spreadsheet for Bayesian posterior compatibility intervals and magnitude-based decisions. Sportscience 23, 5-7 (sportsci.org/2019/bayes.htm).</t>
        </r>
      </text>
    </comment>
    <comment ref="H4" authorId="1">
      <text>
        <r>
          <rPr>
            <b/>
            <sz val="9"/>
            <rFont val="Tahoma"/>
            <family val="2"/>
          </rPr>
          <t>J:ly</t>
        </r>
        <r>
          <rPr>
            <sz val="9"/>
            <rFont val="Tahoma"/>
            <family val="2"/>
          </rPr>
          <t>. Added panels of cells to estimate Greenland prior from a full Bayesian posterior.</t>
        </r>
      </text>
    </comment>
    <comment ref="I4" authorId="2">
      <text>
        <r>
          <rPr>
            <sz val="9"/>
            <rFont val="Tahoma"/>
            <family val="2"/>
          </rPr>
          <t>May 3: Added more to the comment in Cell X63 (now W64), to call attention to the similarity of relative scaling of magnitude thresholds of factor effects, standardized effects, and correlations.</t>
        </r>
      </text>
    </comment>
    <comment ref="E55" authorId="1">
      <text>
        <r>
          <rPr>
            <sz val="9"/>
            <rFont val="Tahoma"/>
            <family val="2"/>
          </rPr>
          <t>A value of 999 makes a normal probability distribution for the prior.</t>
        </r>
      </text>
    </comment>
    <comment ref="W62" authorId="1">
      <text>
        <r>
          <rPr>
            <sz val="9"/>
            <rFont val="Tahoma"/>
            <family val="2"/>
          </rPr>
          <t>This smallest factor effect has to be appropriate for your data; do not use the arbitrary value shown here. If you cannot define it in terms of its association with the smallest important difference or change in health, wealth or performance, use standardization (0.20 of the between-subject SD of the log-transformed variable, back-transformed to a factor). 
If you insert the value 1.12 here, you will see something wonderful: an almost perfect match between the magnitude thresholds for standardized effects (as shown in black) and proportion or hazard ratios (1.11, 1.43, 2.0, 3.3, 10), when the smallest effects nearly align (1.12 rather than 1.11 for the factor effect). There is a similar close match if you insert the value for a smallest important factor reduction, 0.9: the other thresholds are 0.7, 0.5, 0.3 and 0.1. (Insert the value 0.89 to get a better match to two decimal places.) This matching shows that the relative scaling of magnitudes of standardized and factor effects are practically the same, along with the relative scaling of correlation coefficients (0.1, 0.3, 0.5, 0.7, 0.9), from which the standardized thresholds were derived.</t>
        </r>
      </text>
    </comment>
    <comment ref="E140" authorId="1">
      <text>
        <r>
          <rPr>
            <sz val="9"/>
            <rFont val="Tahoma"/>
            <family val="2"/>
          </rPr>
          <t>A value &lt;4 does not work with the Fisher z transformation.</t>
        </r>
      </text>
    </comment>
    <comment ref="E86" authorId="1">
      <text>
        <r>
          <rPr>
            <sz val="9"/>
            <rFont val="Tahoma"/>
            <family val="2"/>
          </rPr>
          <t>A value of 999 makes a normal probability distribution for the prior.</t>
        </r>
      </text>
    </comment>
    <comment ref="E19" authorId="0">
      <text>
        <r>
          <rPr>
            <sz val="8"/>
            <rFont val="Tahoma"/>
            <family val="2"/>
          </rPr>
          <t>The chance of harm has to be less than this value for an effect to be clinically beneficial.  That is, the effect can be clinically beneficial only when it is most unlikely to be harmful.</t>
        </r>
      </text>
    </comment>
    <comment ref="G19" authorId="0">
      <text>
        <r>
          <rPr>
            <sz val="8"/>
            <rFont val="Tahoma"/>
            <family val="2"/>
          </rPr>
          <t>For a non-clinical effect to have adequate precision, the chance that the true effect is substantially positive OR the chance that the true effect is substantially negative has to be less than this value.  That is, the effect has adequate precision when the true effect is either very unlikely to be positive or very unlikely to be negative.
This value also sets the level for the "wanted" confidence limits: 5 produces 90% limits, 2.5 produces 95% limits, and so on.</t>
        </r>
      </text>
    </comment>
    <comment ref="I19" authorId="0">
      <text>
        <r>
          <rPr>
            <sz val="8"/>
            <rFont val="Tahoma"/>
            <family val="2"/>
          </rPr>
          <t>The chance of benefit has to be greater than this value for an effect to be potentially clinically beneficial.  That is, the effect can be clinically beneficial only when it is at least possibly beneficial.</t>
        </r>
      </text>
    </comment>
  </commentList>
</comments>
</file>

<file path=xl/sharedStrings.xml><?xml version="1.0" encoding="utf-8"?>
<sst xmlns="http://schemas.openxmlformats.org/spreadsheetml/2006/main" count="1119" uniqueCount="296">
  <si>
    <t xml:space="preserve">lower </t>
  </si>
  <si>
    <t xml:space="preserve">upper </t>
  </si>
  <si>
    <t xml:space="preserve"> "±"</t>
  </si>
  <si>
    <t>given</t>
  </si>
  <si>
    <t>SE</t>
  </si>
  <si>
    <t>SE comb.</t>
  </si>
  <si>
    <t>DF comb.</t>
  </si>
  <si>
    <t>A</t>
  </si>
  <si>
    <t>B</t>
  </si>
  <si>
    <t xml:space="preserve">Descriptive study: sum of (number of subjects in each group minus 1) </t>
  </si>
  <si>
    <t>Simple crossover or paired t-test design: number of subjects minus 1</t>
  </si>
  <si>
    <t>Multiple crossover: (number of treatments minus 1)x(number of subjects minus 1)</t>
  </si>
  <si>
    <t xml:space="preserve">Fully controlled experiment: Treat each group of subjects as a simple or multiple crossover, </t>
  </si>
  <si>
    <t xml:space="preserve">    then add together the degrees of freedom for each group.</t>
  </si>
  <si>
    <r>
      <t>"</t>
    </r>
    <r>
      <rPr>
        <sz val="10"/>
        <rFont val="Symbol"/>
        <family val="1"/>
      </rPr>
      <t>´¤¸</t>
    </r>
    <r>
      <rPr>
        <sz val="10"/>
        <rFont val="Arial"/>
        <family val="2"/>
      </rPr>
      <t>"</t>
    </r>
  </si>
  <si>
    <t>lower</t>
  </si>
  <si>
    <t>upper</t>
  </si>
  <si>
    <t>Derived difference and mean</t>
  </si>
  <si>
    <t>Group</t>
  </si>
  <si>
    <t>Effect</t>
  </si>
  <si>
    <t>wanted</t>
  </si>
  <si>
    <t>Deg. of freedom</t>
  </si>
  <si>
    <t>Sample size</t>
  </si>
  <si>
    <r>
      <t>Hover cursor</t>
    </r>
    <r>
      <rPr>
        <sz val="10"/>
        <rFont val="Arial"/>
        <family val="2"/>
      </rPr>
      <t xml:space="preserve"> for citation.</t>
    </r>
  </si>
  <si>
    <t>1.  Combining Means and Other t-Distributed or Normally Distributed Statistics</t>
  </si>
  <si>
    <t>4.  Combining Correlations</t>
  </si>
  <si>
    <t>Each section shows a complete example.  Enter your data in the blank cells of the grid beneath the example.</t>
  </si>
  <si>
    <r>
      <t xml:space="preserve">Your data will appear in </t>
    </r>
    <r>
      <rPr>
        <b/>
        <sz val="10"/>
        <color indexed="12"/>
        <rFont val="Arial"/>
        <family val="2"/>
      </rPr>
      <t>blue</t>
    </r>
    <r>
      <rPr>
        <sz val="10"/>
        <rFont val="Arial"/>
        <family val="2"/>
      </rPr>
      <t xml:space="preserve"> as you enter them. </t>
    </r>
    <r>
      <rPr>
        <sz val="10"/>
        <color indexed="12"/>
        <rFont val="Arial"/>
        <family val="2"/>
      </rPr>
      <t xml:space="preserve"> </t>
    </r>
    <r>
      <rPr>
        <sz val="10"/>
        <rFont val="Arial"/>
        <family val="2"/>
      </rPr>
      <t>Useful sta</t>
    </r>
    <r>
      <rPr>
        <sz val="10"/>
        <rFont val="Arial"/>
        <family val="0"/>
      </rPr>
      <t xml:space="preserve">tistics are in </t>
    </r>
    <r>
      <rPr>
        <b/>
        <sz val="10"/>
        <color indexed="10"/>
        <rFont val="Arial"/>
        <family val="2"/>
      </rPr>
      <t xml:space="preserve">red </t>
    </r>
    <r>
      <rPr>
        <sz val="10"/>
        <rFont val="Arial"/>
        <family val="2"/>
      </rPr>
      <t>in the colored cells. Don't touch these cells..</t>
    </r>
  </si>
  <si>
    <t>Based on the fact that the Fisher z transform z=0.5log((1+r)/(1-r)) has an approximately normal sampling distribution with variance 1/(n-3),</t>
  </si>
  <si>
    <t>It is based on the assumption that, if you repeated your study many times, your effect statistic would have a normal or t distribution.</t>
  </si>
  <si>
    <t>Value of correl.</t>
  </si>
  <si>
    <t>Custom</t>
  </si>
  <si>
    <t>1/DF</t>
  </si>
  <si>
    <t>Custom effect</t>
  </si>
  <si>
    <t>C</t>
  </si>
  <si>
    <t>Mean</t>
  </si>
  <si>
    <t>Mean effect</t>
  </si>
  <si>
    <t>D</t>
  </si>
  <si>
    <t>E</t>
  </si>
  <si>
    <t>F</t>
  </si>
  <si>
    <t>ln(effect)</t>
  </si>
  <si>
    <t>Custom weight</t>
  </si>
  <si>
    <t>ln(SE)</t>
  </si>
  <si>
    <t>ln(SEcomb.)</t>
  </si>
  <si>
    <t>ln(cust. eff.)</t>
  </si>
  <si>
    <t>2.  Combining Percent and Factor Outcomes</t>
  </si>
  <si>
    <t>ln(mean eff.)</t>
  </si>
  <si>
    <t>lnSEcomb.</t>
  </si>
  <si>
    <t>Read the notes in the above section about degrees of freedom.</t>
  </si>
  <si>
    <t>Convert percents to factors, as explained in the 2-group spreadsheet.</t>
  </si>
  <si>
    <t>You can use it for outcomes expressed as percents, provided they and their combined outcome are &lt;10%. For percent effects &gt;10%, see Section 2.</t>
  </si>
  <si>
    <t>You can also use it for standardized (Cohenized) mean effects derived from an untransformed or appropriately transformed variable.</t>
  </si>
  <si>
    <t>Value of factor</t>
  </si>
  <si>
    <t>The example has the large factor effects you observe with some hormone concentrations.</t>
  </si>
  <si>
    <t>If you adjust for a covariate in the separate analyses, make sure you adjust both analyses to the same value of the covariate.</t>
  </si>
  <si>
    <t>"Independent" usually means the statistics have come from separate analyses of two groups of different subjects.</t>
  </si>
  <si>
    <t>most unlikely</t>
  </si>
  <si>
    <t>very unlikely</t>
  </si>
  <si>
    <t>unlikely</t>
  </si>
  <si>
    <t>possibly</t>
  </si>
  <si>
    <t>likely</t>
  </si>
  <si>
    <t>very likely</t>
  </si>
  <si>
    <t>most likely</t>
  </si>
  <si>
    <t>Threshold values for...</t>
  </si>
  <si>
    <t>Chances that the true value of the effect statistic is…</t>
  </si>
  <si>
    <t>%</t>
  </si>
  <si>
    <t>Clinical</t>
  </si>
  <si>
    <t>Threshold values for…</t>
  </si>
  <si>
    <t>Derived ratio and (geometric) mean</t>
  </si>
  <si>
    <t>_x001E_</t>
  </si>
  <si>
    <t>...negligible or
trivial</t>
  </si>
  <si>
    <r>
      <t>harm</t>
    </r>
    <r>
      <rPr>
        <sz val="8"/>
        <color indexed="18"/>
        <rFont val="Arial"/>
        <family val="2"/>
      </rPr>
      <t xml:space="preserve"> or</t>
    </r>
  </si>
  <si>
    <r>
      <t>benefit</t>
    </r>
    <r>
      <rPr>
        <sz val="8"/>
        <color indexed="20"/>
        <rFont val="Arial"/>
        <family val="2"/>
      </rPr>
      <t xml:space="preserve"> or</t>
    </r>
  </si>
  <si>
    <r>
      <t xml:space="preserve">harm </t>
    </r>
    <r>
      <rPr>
        <sz val="8"/>
        <color indexed="18"/>
        <rFont val="Arial"/>
        <family val="2"/>
      </rPr>
      <t>or</t>
    </r>
  </si>
  <si>
    <t>~ "±"</t>
  </si>
  <si>
    <t>For example, 67% chance of a beneficial effect falls between 25% and 75%, so the effect is "possibly" beneficial.</t>
  </si>
  <si>
    <t>When you provide the threshold for benefit, the threshold for harm is generated automatically.</t>
  </si>
  <si>
    <t>These are based on chances that the true magnitude of the effect is substantial in some positive and negative sense.</t>
  </si>
  <si>
    <t>If both chances are too high, the effect is deemed unclear, as follows:</t>
  </si>
  <si>
    <t>How to Use this Spreadsheet</t>
  </si>
  <si>
    <t>There are separate sections to combine different kinds of statistic, as follows (click to link):</t>
  </si>
  <si>
    <t>Express each percent as a factor (e.g., 7%=1.07, 23%=1.23, 165%=2.65) before entering it in the spreadsheet.</t>
  </si>
  <si>
    <t>A negative percent is represented by a factor &lt;1 (e.g., -23% = 1-23/100 = 0.77).</t>
  </si>
  <si>
    <t>You also need the number of degrees of freedom.  If you haven't got the degrees of freedom, here's how to work it out:</t>
  </si>
  <si>
    <t>where r is the correlation coefficient and n is the sample size.</t>
  </si>
  <si>
    <t>(This problem does not arise with statistics derived from log transformation, because the limits are expressed as factors or percents that apply to the difference from either value.)</t>
  </si>
  <si>
    <t>Average two groups by inserting "0.5" and "0.5" in the appropriate cells.</t>
  </si>
  <si>
    <r>
      <t>Average three groups by inserting "=1/3" in each of the appropriate cells.  Or insert "0.333", "0.333" and "0.33</t>
    </r>
    <r>
      <rPr>
        <b/>
        <sz val="10"/>
        <color indexed="10"/>
        <rFont val="Arial"/>
        <family val="2"/>
      </rPr>
      <t>4</t>
    </r>
    <r>
      <rPr>
        <sz val="10"/>
        <rFont val="Arial"/>
        <family val="2"/>
      </rPr>
      <t>" in those cells.</t>
    </r>
  </si>
  <si>
    <t>Subtract one group from the mean of two others by inserting a "-1", a "0.5" and a "0.5" in the appropriate cells.</t>
  </si>
  <si>
    <t>If you use invalid weights, an error message will appear.</t>
  </si>
  <si>
    <t>(The weights have to add up exactly to 0 or 1, which is why you have to use either of the above strategies.)</t>
  </si>
  <si>
    <t>Subtract one from another by inserting a "1" and a "-1" in the appropriate weight cells. Put zeros or nothing in the weight cells for the other groups.</t>
  </si>
  <si>
    <t>I have provided rows for six groups (partly because six is the number you need to get balance in the order of treatments in a crossover with three treatments).</t>
  </si>
  <si>
    <t>Note, though, that with four treatments you can get Latin-squares balance with four groups.</t>
  </si>
  <si>
    <t xml:space="preserve">For a balanced crossover with five treatments you will need 10 subject groups. See newstats.org for more on Latin squares.   </t>
  </si>
  <si>
    <t xml:space="preserve">Copy and insert the entire Group-F row (or copies of that row) to get extra rows.    </t>
  </si>
  <si>
    <r>
      <t>or "</t>
    </r>
    <r>
      <rPr>
        <sz val="9"/>
        <rFont val="Symbol"/>
        <family val="1"/>
      </rPr>
      <t>´¤¸</t>
    </r>
    <r>
      <rPr>
        <sz val="9"/>
        <rFont val="Arial"/>
        <family val="2"/>
      </rPr>
      <t>"</t>
    </r>
  </si>
  <si>
    <t>You will have to analyze the original data appropriately.</t>
  </si>
  <si>
    <t>Derived custom and mean effects</t>
  </si>
  <si>
    <t>Derived custom and (geometric) mean effects</t>
  </si>
  <si>
    <t>Correls for each grp</t>
  </si>
  <si>
    <t>or "±"</t>
  </si>
  <si>
    <t>Use this section for differences in means expressed factors or as percents when they or their combined outcome are &gt;10%.  Otherwise use the above section.</t>
  </si>
  <si>
    <t>Make sure you express the threshold values as factors, too.</t>
  </si>
  <si>
    <t>4.  Combining Correlation Coefficients</t>
  </si>
  <si>
    <t>Correlations for each group</t>
  </si>
  <si>
    <t>Fisher(SE)</t>
  </si>
  <si>
    <t>Fisher(r)</t>
  </si>
  <si>
    <t>Sample</t>
  </si>
  <si>
    <t>size</t>
  </si>
  <si>
    <t>Fisher(SEcomb.)</t>
  </si>
  <si>
    <t>Fisher(cust. eff.)</t>
  </si>
  <si>
    <t>Fisher(SE comb.)</t>
  </si>
  <si>
    <t>Fisher(mean eff.)</t>
  </si>
  <si>
    <t>The values must be for the levels of a "fixed effect", such as three identified sports, four specific treatments, five known venues, etc.  Each level must involve different (i.e., independent) subjects.</t>
  </si>
  <si>
    <t>Do not use this spreadsheet to combine values of levels of a "random effect", which are levels representing a sample drawn from a population of sports, subjects or whatever.</t>
  </si>
  <si>
    <t xml:space="preserve">   You should also consider analyzing the original observations making up each level all together with an appropriate mixed model.</t>
  </si>
  <si>
    <t xml:space="preserve">   For more information, see the article accompanying this spreadsheet at Sportscience.</t>
  </si>
  <si>
    <r>
      <t xml:space="preserve">The simple mean of </t>
    </r>
    <r>
      <rPr>
        <b/>
        <sz val="10"/>
        <rFont val="Arial"/>
        <family val="2"/>
      </rPr>
      <t>ALL</t>
    </r>
    <r>
      <rPr>
        <sz val="10"/>
        <rFont val="Arial"/>
        <family val="2"/>
      </rPr>
      <t xml:space="preserve"> the estimates is also included, although you could produce the mean as a customized combination.</t>
    </r>
  </si>
  <si>
    <t>It is based on the assumption that, if the study or studies were repeated many times, the log of the statistic would have a normal distribution.</t>
  </si>
  <si>
    <t>Value of statistic</t>
  </si>
  <si>
    <t>Statistic for each group</t>
  </si>
  <si>
    <t>Threshold factor for…</t>
  </si>
  <si>
    <r>
      <t xml:space="preserve">A SPREADSHEET FOR COMBINING OUTCOMES FOR </t>
    </r>
    <r>
      <rPr>
        <b/>
        <sz val="11"/>
        <color indexed="10"/>
        <rFont val="Arial"/>
        <family val="2"/>
      </rPr>
      <t>TWO</t>
    </r>
    <r>
      <rPr>
        <b/>
        <sz val="11"/>
        <rFont val="Arial"/>
        <family val="2"/>
      </rPr>
      <t xml:space="preserve"> SUBJECT GROUPS OR STATISTICS </t>
    </r>
  </si>
  <si>
    <r>
      <t xml:space="preserve">A SPREADSHEET FOR COMBINING OUTCOMES FOR </t>
    </r>
    <r>
      <rPr>
        <b/>
        <sz val="11"/>
        <color indexed="10"/>
        <rFont val="Arial"/>
        <family val="2"/>
      </rPr>
      <t>ONE OR MORE</t>
    </r>
    <r>
      <rPr>
        <b/>
        <sz val="11"/>
        <rFont val="Arial"/>
        <family val="2"/>
      </rPr>
      <t xml:space="preserve"> SUBJECT GROUPS OR STATISTICS</t>
    </r>
  </si>
  <si>
    <t>Odds ratio benefit/harm</t>
  </si>
  <si>
    <r>
      <t>Hover cursor</t>
    </r>
    <r>
      <rPr>
        <sz val="10"/>
        <rFont val="Arial"/>
        <family val="2"/>
      </rPr>
      <t xml:space="preserve"> for updates:</t>
    </r>
  </si>
  <si>
    <r>
      <t xml:space="preserve">The threshold for benefit can be positive ("+ive") or negative ("–ive"), </t>
    </r>
    <r>
      <rPr>
        <sz val="10"/>
        <rFont val="Arial"/>
        <family val="2"/>
      </rPr>
      <t>or for ratios, an increase ("&gt;") or decrease ("&lt;").</t>
    </r>
  </si>
  <si>
    <t>3.  Combining Rate Ratios, Count Ratios, Standard Deviations and Other Log-Normally Distributed Statistics</t>
  </si>
  <si>
    <t>3.  Combining Rate Ratios, Count Ratios, Standard Deviations, and Other Log-Normally Distributed Statistics</t>
  </si>
  <si>
    <t>Read the documentation in the spreadsheet for 2 groups or statistics (click on the tab below) before you try to use this spreadsheet.</t>
  </si>
  <si>
    <t>For citation and updates, click on the tab for 2 groups or statistics.</t>
  </si>
  <si>
    <t>2.  Combining Percent and Factor Effects on Means</t>
  </si>
  <si>
    <t>Factor effects on means for each group</t>
  </si>
  <si>
    <t>The only big difference here is the addition of the "Custom weight" column.  Use this column to combine the groups.  For example…</t>
  </si>
  <si>
    <t>For a complete explanation, see the 2-groups spreadsheet.</t>
  </si>
  <si>
    <t>Effect on means for each group</t>
  </si>
  <si>
    <t>Value of effect</t>
  </si>
  <si>
    <t>Non-clinical</t>
  </si>
  <si>
    <t>For each effect, you also have to provide a threshold value for clinical benefit or non-clinical substantiveness (the smallest important effect).</t>
  </si>
  <si>
    <t>Derived custom and (Fisher-inverse) mean effects</t>
  </si>
  <si>
    <t>Derived difference and (Fisher-inverse) mean</t>
  </si>
  <si>
    <t>-ive wgts</t>
  </si>
  <si>
    <t xml:space="preserve"> SEcomb.</t>
  </si>
  <si>
    <t>cust. eff.</t>
  </si>
  <si>
    <t>Evaluated at</t>
  </si>
  <si>
    <t xml:space="preserve"> r SEcomb.</t>
  </si>
  <si>
    <t>r effect</t>
  </si>
  <si>
    <t>1.  A Mean Effect and Other t-Distributed or Normally Distributed Effect Statistics</t>
  </si>
  <si>
    <t>2.  A Mean Effect as Above, but in Factor or Percent Units</t>
  </si>
  <si>
    <t>3.  A Rate, Odds, Hazard or Count Ratio or Other Log-Normally Distributed Effect Statistic</t>
  </si>
  <si>
    <t>4.  A Correlation Coefficient</t>
  </si>
  <si>
    <t>Change the values of chances in the following scale to make the decisions in this spreadsheet more or less conservative:</t>
  </si>
  <si>
    <t>Use this panel to combine a prior and observed difference in means, change in a means, difference between changes in means, and "slopes" (numeric linear coefficients).</t>
  </si>
  <si>
    <t>You can also use it for standardized (Cohen's d) mean effects derived from an untransformed or appropriately transformed variable.</t>
  </si>
  <si>
    <t>You also need the number of degrees of freedom. For the prior, imagine that it came from a study with a sample size that would give its uncertainty.</t>
  </si>
  <si>
    <t xml:space="preserve"> Here's how to work out the degrees of freedom for the prior and for the observed effect (if you haven't already got it):</t>
  </si>
  <si>
    <t>Fully controlled experiment: Treat each group of subjects as a simple or multiple crossover, then add together the degrees of freedom for each group.</t>
  </si>
  <si>
    <t>Value of mean</t>
  </si>
  <si>
    <t>Compatibility limits</t>
  </si>
  <si>
    <t>Compatibility level (%)</t>
  </si>
  <si>
    <t>Posterior</t>
  </si>
  <si>
    <t>Decision</t>
  </si>
  <si>
    <t>posterior</t>
  </si>
  <si>
    <t>value</t>
  </si>
  <si>
    <t>Prior</t>
  </si>
  <si>
    <t>Obsvd</t>
  </si>
  <si>
    <t>Threshold</t>
  </si>
  <si>
    <t>Stdzd</t>
  </si>
  <si>
    <t>Factor</t>
  </si>
  <si>
    <t>Smallest important</t>
  </si>
  <si>
    <t>Moderate</t>
  </si>
  <si>
    <t>Make sure you express the threshold value as a factor, too.</t>
  </si>
  <si>
    <t>Large</t>
  </si>
  <si>
    <t>Very large</t>
  </si>
  <si>
    <t>Extremely large</t>
  </si>
  <si>
    <t>Read the notes in Panel 1 about degrees of freedom.</t>
  </si>
  <si>
    <t>The Bayesian analyses in this section is based on the assumption that, if the study were repeated many times, the log of the statistic would have a normal distribution.</t>
  </si>
  <si>
    <t xml:space="preserve">This assumption is violated for "sparse data", i.e., when the count of one or both events or occurrences contributing to the ratio is &lt;10. </t>
  </si>
  <si>
    <t xml:space="preserve">Use this panel also to get a Bayesian-modified ratio of two SDs, which is approximately log-normally distributed. A factor threshold for a ratio of SDs may be difficult to justify. </t>
  </si>
  <si>
    <t xml:space="preserve">The threshold for a team-sport player's performance indicator based on a count needs to come from standardization: 0.2 of the between-player SD of the count in a typical game, expressed as a factor. </t>
  </si>
  <si>
    <r>
      <t>Derive the threshold as follows: log transform the counts, average the SD</t>
    </r>
    <r>
      <rPr>
        <vertAlign val="superscript"/>
        <sz val="10"/>
        <rFont val="Arial"/>
        <family val="2"/>
      </rPr>
      <t>2</t>
    </r>
    <r>
      <rPr>
        <sz val="10"/>
        <rFont val="Arial"/>
        <family val="2"/>
      </rPr>
      <t xml:space="preserve"> of the log-transformed count from many games, take the square root, multiply by 0.2, then back-transform to a factor.</t>
    </r>
  </si>
  <si>
    <t>Value of ratio</t>
  </si>
  <si>
    <t>Use this panel to combine a prior and observed Pearson correlation.</t>
  </si>
  <si>
    <t>It is based on the assumption that, if you repeated your study many times, the Fisher-z transformation of the correlation would have a normal distribution.</t>
  </si>
  <si>
    <t>Comp. level (%)</t>
  </si>
  <si>
    <t>For additional analyses, highlight the entire rows containing the block of grey, white and colored cells, copy, then right-click/insert copied cells.</t>
  </si>
  <si>
    <t>For an explanation of the decisions, see the other spreadsheet (2 groups or statistics).</t>
  </si>
  <si>
    <t xml:space="preserve">You can make all the decisions in the spreadsheet more or less conservative by changing the values of chances in the above scale.  </t>
  </si>
  <si>
    <t>The spreadsheet assigns these values their given sign and uses them for non-clinical decisions.</t>
  </si>
  <si>
    <t xml:space="preserve">Use weights of 1s and 0s to get an decision about the addition (simultaneous use) of effects marked with 1s, assuming they are fully additive in reality. </t>
  </si>
  <si>
    <t>Posterior value, compatibility limits and decision</t>
  </si>
  <si>
    <t>Value and compatibility limits for prior and observed mean</t>
  </si>
  <si>
    <t>Convert the derived factor and compatibility limits back into percents if the value and compatibility limits are less than ~1.3 and greater than ~0.7; otherwise report them as factors.</t>
  </si>
  <si>
    <t>OR compatibility limits</t>
  </si>
  <si>
    <t>You can use it for outcomes expressed as percents, provided they and their posterior value and compatibility limits are &lt;10%. For percent effects &gt;10%, see Panel 2.</t>
  </si>
  <si>
    <t>(A mistake here has little effect on the compatibility limits, which you can see for yourself by trying different values for the degrees of freedom.)</t>
  </si>
  <si>
    <t>A weakly informative prior appropriately shrinks any resulting unrealistically large posterior and/or its compatibility limits.</t>
  </si>
  <si>
    <t>Value and comp. limits for prior and observed ratio</t>
  </si>
  <si>
    <r>
      <t xml:space="preserve">The cells in </t>
    </r>
    <r>
      <rPr>
        <b/>
        <sz val="10"/>
        <color indexed="20"/>
        <rFont val="Arial"/>
        <family val="2"/>
      </rPr>
      <t>plum</t>
    </r>
    <r>
      <rPr>
        <sz val="10"/>
        <rFont val="Arial"/>
        <family val="2"/>
      </rPr>
      <t xml:space="preserve"> usually don't need to be changed. They contain a formula, so either undo the change to restore the formula or download the spreadsheet again.</t>
    </r>
  </si>
  <si>
    <t>You need to supply the value and compatibility limits for the prior and observed effect.</t>
  </si>
  <si>
    <t>The prior for the example shown is weakly informative: a ratio of 1.00 with borderline extremely large (factor of 10) compatibility limits on the usual scale for these ratios.</t>
  </si>
  <si>
    <t>You need to supply the value and sample size or compatibility limits for the prior and observed correlation.</t>
  </si>
  <si>
    <t>You need to supply the value and compatibility limits for the prior and observed factor.</t>
  </si>
  <si>
    <t>The observed effect and compatibility limits in the example are for a controlled trial with typical error 3x the smallest important and sample size (20) 1/10th of the optimal (~200) for magnitude-based decisions.</t>
  </si>
  <si>
    <t>The observed effect and compatibility limits in the example are for a prospective cohort study with sample size (900) 1/10th of the optimal (~9000) for magnitude-based decisions.</t>
  </si>
  <si>
    <t>Value and s.size or comp. limits for prior and observed corr.</t>
  </si>
  <si>
    <t>If magnitudes are defined by standardization of the log-transformed variable, and you know the smallest important as a factor, use the cells on the right to set compatibility limits for the prior (as done here for the example).</t>
  </si>
  <si>
    <t>If the effect is expressed in percent units, convert it and its compatiblity limits to factors (e.g., 7.1%=1+7.1/100=1.071, 23%=1.23, 165%=2.65) before entering in the spreadsheet.</t>
  </si>
  <si>
    <t>Make sure you express the threshold value as a factor. The default for ratios reflecting morbidity or mortality is 0.90 for benefit, as shown.</t>
  </si>
  <si>
    <t>Use this table to define factors for your prior:</t>
  </si>
  <si>
    <t>The example has the kind of observed factor effect and uncertainty expected with small-sample studies of some hormone and genomic concentrations. See the table above right in this panel</t>
  </si>
  <si>
    <t>The example has the kind of observed hazard or count ratio and uncertainty expected in small-sample injury studies.</t>
  </si>
  <si>
    <t xml:space="preserve">The compatibility limits for the prior represent extremely large values. (Smallest, moderate, large, very large and exrremely large are ratios of 1.11, 1.43, 2.0, 3.3, 10, and their inverses of 0.9, 0.7, 0.5, 0.3, 0.1.) </t>
  </si>
  <si>
    <t>The standardizing should account for uncertainty in the standardizing SD when the sample size for the SD is &lt;30. See the article on standardized effects in the 2019 issue of Sportscience.</t>
  </si>
  <si>
    <t>If an effect has adequate precision, inserting the threshold value for a moderate, large, very large and extremely large effect will give the chances the effect has at least these magnitudes.</t>
  </si>
  <si>
    <t>Updates:</t>
  </si>
  <si>
    <t>For a complete explanation, see the 2-groups spreadsheet and the Update 2018 comment.</t>
  </si>
  <si>
    <t xml:space="preserve">The prior in the example is weakly informative: a nil ratio (1.00) with borderline extremely large compatibility limits defined via standardization of a log-transformed dependent variable. </t>
  </si>
  <si>
    <t xml:space="preserve">The prior for the example shown is weakly informative: a nil mean (0.00) with borderline extremely large compatibility limits (±4.0 in standardized units). </t>
  </si>
  <si>
    <t xml:space="preserve">The prior in the example is weakly informative: a nil correlation (0.00) with the smallest allowable sample size (4). </t>
  </si>
  <si>
    <r>
      <t xml:space="preserve">If using this spreadsheet to estimate a Greenland prior, install the Solver add-in via File/Options/Add-ins/Manage </t>
    </r>
    <r>
      <rPr>
        <b/>
        <sz val="10"/>
        <rFont val="Arial"/>
        <family val="2"/>
      </rPr>
      <t xml:space="preserve">Excel Add-ins </t>
    </r>
    <r>
      <rPr>
        <sz val="10"/>
        <rFont val="Arial"/>
        <family val="2"/>
      </rPr>
      <t xml:space="preserve">Go…/select </t>
    </r>
    <r>
      <rPr>
        <b/>
        <sz val="10"/>
        <rFont val="Arial"/>
        <family val="2"/>
      </rPr>
      <t>Solver Add-in</t>
    </r>
    <r>
      <rPr>
        <sz val="10"/>
        <rFont val="Arial"/>
        <family val="2"/>
      </rPr>
      <t xml:space="preserve"> and click OK. The Solver is then available in </t>
    </r>
    <r>
      <rPr>
        <b/>
        <sz val="10"/>
        <rFont val="Arial"/>
        <family val="2"/>
      </rPr>
      <t>Data</t>
    </r>
    <r>
      <rPr>
        <sz val="10"/>
        <rFont val="Arial"/>
        <family val="2"/>
      </rPr>
      <t xml:space="preserve"> at far right.</t>
    </r>
  </si>
  <si>
    <t>Each of these effects has a set of cells with an example showing a weakly informative prior. Overwrite with your data, or see below how to duplicate the block of cells, and overwrite the values in the duplicate.</t>
  </si>
  <si>
    <r>
      <t xml:space="preserve">Data to replace appear in </t>
    </r>
    <r>
      <rPr>
        <b/>
        <sz val="10"/>
        <color indexed="12"/>
        <rFont val="Arial"/>
        <family val="2"/>
      </rPr>
      <t>blue</t>
    </r>
    <r>
      <rPr>
        <sz val="10"/>
        <rFont val="Arial"/>
        <family val="2"/>
      </rPr>
      <t xml:space="preserve">. </t>
    </r>
    <r>
      <rPr>
        <sz val="10"/>
        <color indexed="12"/>
        <rFont val="Arial"/>
        <family val="2"/>
      </rPr>
      <t xml:space="preserve"> </t>
    </r>
    <r>
      <rPr>
        <sz val="10"/>
        <rFont val="Arial"/>
        <family val="2"/>
      </rPr>
      <t xml:space="preserve">Useful statistics are in </t>
    </r>
    <r>
      <rPr>
        <b/>
        <sz val="10"/>
        <color indexed="10"/>
        <rFont val="Arial"/>
        <family val="2"/>
      </rPr>
      <t xml:space="preserve">red </t>
    </r>
    <r>
      <rPr>
        <sz val="10"/>
        <rFont val="Arial"/>
        <family val="2"/>
      </rPr>
      <t>in the colored cells. Don't touch these cells..</t>
    </r>
  </si>
  <si>
    <r>
      <t xml:space="preserve">For an explanation of the decisions, hover the cursor to see the comment about value of the chance, and/or see the spreadsheet on the tab </t>
    </r>
    <r>
      <rPr>
        <b/>
        <sz val="10"/>
        <rFont val="Arial"/>
        <family val="2"/>
      </rPr>
      <t>2 groups or statistics</t>
    </r>
    <r>
      <rPr>
        <sz val="10"/>
        <rFont val="Arial"/>
        <family val="0"/>
      </rPr>
      <t>.</t>
    </r>
  </si>
  <si>
    <r>
      <t xml:space="preserve">To keep additional analyses of a given type of statistic, highlight </t>
    </r>
    <r>
      <rPr>
        <b/>
        <sz val="10"/>
        <color indexed="60"/>
        <rFont val="Arial"/>
        <family val="2"/>
      </rPr>
      <t>the entire rows</t>
    </r>
    <r>
      <rPr>
        <sz val="10"/>
        <color indexed="60"/>
        <rFont val="Arial"/>
        <family val="2"/>
      </rPr>
      <t xml:space="preserve"> containing the block of dark grey, white and colored cells, copy, then right-click/insert copied cells. Insert new data in the copy.</t>
    </r>
  </si>
  <si>
    <t>1.  Combining a Greenland Prior with an Observed Mean Effect or Other t-Distributed or Normally Distributed Effect Statistics</t>
  </si>
  <si>
    <t>You can also use this spreadsheet to derive the Greenland prior that gives compatibility limits the same as those from a full Bayesian analysis (to check whether that analysis has a realistic equivalent Greenland prior).</t>
  </si>
  <si>
    <t>Insert the full Bayesian posterior's lower and upper compatibiity limits (CL) here:</t>
  </si>
  <si>
    <t>Set the compatibility level of the posterior to the value appropriate for these limits.</t>
  </si>
  <si>
    <t xml:space="preserve">      Keep the weakly informative prior as a mean  ± CL. Do not insert lower and upper CL. Choose the level of the CL. Insert the observed mean, degrees of freedom, CL and level.</t>
  </si>
  <si>
    <r>
      <t xml:space="preserve">Open the Solver. </t>
    </r>
    <r>
      <rPr>
        <b/>
        <sz val="10"/>
        <rFont val="Arial"/>
        <family val="2"/>
      </rPr>
      <t>Set objective</t>
    </r>
    <r>
      <rPr>
        <sz val="10"/>
        <rFont val="Arial"/>
        <family val="2"/>
      </rPr>
      <t xml:space="preserve"> to this cell:</t>
    </r>
  </si>
  <si>
    <r>
      <t xml:space="preserve"> Choose </t>
    </r>
    <r>
      <rPr>
        <b/>
        <sz val="10"/>
        <rFont val="Arial"/>
        <family val="2"/>
      </rPr>
      <t>to</t>
    </r>
    <r>
      <rPr>
        <sz val="10"/>
        <rFont val="Arial"/>
        <family val="2"/>
      </rPr>
      <t xml:space="preserve"> </t>
    </r>
    <r>
      <rPr>
        <b/>
        <sz val="10"/>
        <rFont val="Arial"/>
        <family val="2"/>
      </rPr>
      <t>Min</t>
    </r>
    <r>
      <rPr>
        <sz val="10"/>
        <rFont val="Arial"/>
        <family val="2"/>
      </rPr>
      <t xml:space="preserve">imize. In </t>
    </r>
    <r>
      <rPr>
        <b/>
        <sz val="10"/>
        <rFont val="Arial"/>
        <family val="2"/>
      </rPr>
      <t>By Changing Variable Cells,</t>
    </r>
    <r>
      <rPr>
        <sz val="10"/>
        <rFont val="Arial"/>
        <family val="2"/>
      </rPr>
      <t xml:space="preserve"> choose the prior's mean and ± CLs. Untick </t>
    </r>
    <r>
      <rPr>
        <b/>
        <sz val="10"/>
        <rFont val="Arial"/>
        <family val="2"/>
      </rPr>
      <t>Make Unconstrained Variables Non-Negative</t>
    </r>
    <r>
      <rPr>
        <sz val="10"/>
        <rFont val="Arial"/>
        <family val="2"/>
      </rPr>
      <t xml:space="preserve">. Click </t>
    </r>
    <r>
      <rPr>
        <b/>
        <sz val="10"/>
        <rFont val="Arial"/>
        <family val="2"/>
      </rPr>
      <t>Solve</t>
    </r>
    <r>
      <rPr>
        <sz val="10"/>
        <rFont val="Arial"/>
        <family val="2"/>
      </rPr>
      <t>.</t>
    </r>
  </si>
  <si>
    <r>
      <t xml:space="preserve">      If you see </t>
    </r>
    <r>
      <rPr>
        <b/>
        <sz val="10"/>
        <rFont val="Arial"/>
        <family val="2"/>
      </rPr>
      <t>Solver has converged to the correct solution</t>
    </r>
    <r>
      <rPr>
        <sz val="10"/>
        <rFont val="Arial"/>
        <family val="2"/>
      </rPr>
      <t xml:space="preserve">, click </t>
    </r>
    <r>
      <rPr>
        <b/>
        <sz val="10"/>
        <rFont val="Arial"/>
        <family val="2"/>
      </rPr>
      <t>OK</t>
    </r>
    <r>
      <rPr>
        <sz val="10"/>
        <rFont val="Arial"/>
        <family val="2"/>
      </rPr>
      <t>, and the prior's mean and ± CL will be shown. Check that the posterior LCL and UCL are those of the full Bayesian analysis.</t>
    </r>
  </si>
  <si>
    <r>
      <t xml:space="preserve">      If you see </t>
    </r>
    <r>
      <rPr>
        <b/>
        <sz val="10"/>
        <rFont val="Arial"/>
        <family val="2"/>
      </rPr>
      <t>The Objective Cell values do not converge</t>
    </r>
    <r>
      <rPr>
        <sz val="10"/>
        <rFont val="Arial"/>
        <family val="2"/>
      </rPr>
      <t xml:space="preserve">, the full Bayesian posterior's confidence interval is wider than the observed confidence interval, so something is wrong with the full Bayesian analysis.  </t>
    </r>
  </si>
  <si>
    <t xml:space="preserve">This example is in standardized units. It would also be a good example for a percent effect on competitive power output or speed of runners, with the threshold replaced by 0.3. </t>
  </si>
  <si>
    <t>prior/obs.</t>
  </si>
  <si>
    <t>2.  Combining a Greenland Prior with an Observed Mean Effect as Above, but in Factor or Percent Units</t>
  </si>
  <si>
    <t>Use this panel when the effect on a mean has been derived via log transformation and is expressed in factor units or percent units, where one or more CLs is &gt; ±10%.</t>
  </si>
  <si>
    <r>
      <t xml:space="preserve">      Change the prior to </t>
    </r>
    <r>
      <rPr>
        <b/>
        <i/>
        <sz val="10"/>
        <rFont val="Arial"/>
        <family val="2"/>
      </rPr>
      <t xml:space="preserve">strong </t>
    </r>
    <r>
      <rPr>
        <sz val="10"/>
        <rFont val="Arial"/>
        <family val="2"/>
      </rPr>
      <t>informative as a factor and ×/÷ CL. I suggest 1 ×/÷ 3. Do not insert lower and upper CL. Choose the level of the CL. Insert the observed factor, degrees of freedom, CL and level.</t>
    </r>
  </si>
  <si>
    <r>
      <t xml:space="preserve"> Choose </t>
    </r>
    <r>
      <rPr>
        <b/>
        <sz val="10"/>
        <rFont val="Arial"/>
        <family val="2"/>
      </rPr>
      <t>to</t>
    </r>
    <r>
      <rPr>
        <sz val="10"/>
        <rFont val="Arial"/>
        <family val="2"/>
      </rPr>
      <t xml:space="preserve"> </t>
    </r>
    <r>
      <rPr>
        <b/>
        <sz val="10"/>
        <rFont val="Arial"/>
        <family val="2"/>
      </rPr>
      <t>Min</t>
    </r>
    <r>
      <rPr>
        <sz val="10"/>
        <rFont val="Arial"/>
        <family val="2"/>
      </rPr>
      <t xml:space="preserve">imize. In </t>
    </r>
    <r>
      <rPr>
        <b/>
        <sz val="10"/>
        <rFont val="Arial"/>
        <family val="2"/>
      </rPr>
      <t>By Changing Variable Cells</t>
    </r>
    <r>
      <rPr>
        <sz val="10"/>
        <rFont val="Arial"/>
        <family val="2"/>
      </rPr>
      <t>, choose the prior's mean and ± CLs.</t>
    </r>
    <r>
      <rPr>
        <sz val="10"/>
        <rFont val="Arial"/>
        <family val="2"/>
      </rPr>
      <t xml:space="preserve"> Click </t>
    </r>
    <r>
      <rPr>
        <b/>
        <sz val="10"/>
        <rFont val="Arial"/>
        <family val="2"/>
      </rPr>
      <t>Solve</t>
    </r>
    <r>
      <rPr>
        <sz val="10"/>
        <rFont val="Arial"/>
        <family val="2"/>
      </rPr>
      <t>.</t>
    </r>
  </si>
  <si>
    <r>
      <t xml:space="preserve">for advice on deriving the threshold smallest important factor and the factor compatibility limits for a weakly informative prior (with a </t>
    </r>
    <r>
      <rPr>
        <sz val="10"/>
        <rFont val="Symbol"/>
        <family val="1"/>
      </rPr>
      <t>´¤¸</t>
    </r>
    <r>
      <rPr>
        <sz val="10"/>
        <rFont val="Arial"/>
        <family val="2"/>
      </rPr>
      <t>factor corresponding to extremely large, as shown).</t>
    </r>
  </si>
  <si>
    <t>3.  Combining a Geenland Prior with an Observed Risk, Odds, Hazard or Count Ratio</t>
  </si>
  <si>
    <t>4.  Combining a Greenland Prior with an Observed Correlation Coefficient</t>
  </si>
  <si>
    <t>Insert the full Bayesian posterior's lower and upper compatibiity limits here:</t>
  </si>
  <si>
    <t xml:space="preserve"> Set the compatibility level of the posterior to the value appropriate for these limits.</t>
  </si>
  <si>
    <t xml:space="preserve">      Keep the weakly informative or insert any informative prior as a correlation and sample size; do not insert lower and upper CLs. Insert the observed correlation and either its sample size or CLs and level.</t>
  </si>
  <si>
    <r>
      <t xml:space="preserve">Choose </t>
    </r>
    <r>
      <rPr>
        <b/>
        <sz val="10"/>
        <rFont val="Arial"/>
        <family val="2"/>
      </rPr>
      <t>to</t>
    </r>
    <r>
      <rPr>
        <sz val="10"/>
        <rFont val="Arial"/>
        <family val="2"/>
      </rPr>
      <t xml:space="preserve"> </t>
    </r>
    <r>
      <rPr>
        <b/>
        <sz val="10"/>
        <rFont val="Arial"/>
        <family val="2"/>
      </rPr>
      <t>Min</t>
    </r>
    <r>
      <rPr>
        <sz val="10"/>
        <rFont val="Arial"/>
        <family val="2"/>
      </rPr>
      <t xml:space="preserve">imize. </t>
    </r>
    <r>
      <rPr>
        <b/>
        <sz val="10"/>
        <rFont val="Arial"/>
        <family val="2"/>
      </rPr>
      <t>By Changing Variable Cells</t>
    </r>
    <r>
      <rPr>
        <sz val="10"/>
        <rFont val="Arial"/>
        <family val="2"/>
      </rPr>
      <t xml:space="preserve">: choose the prior's correlation and sample size. Untick </t>
    </r>
    <r>
      <rPr>
        <b/>
        <sz val="10"/>
        <rFont val="Arial"/>
        <family val="2"/>
      </rPr>
      <t>Make Unconstrained Variables Non-Negative</t>
    </r>
    <r>
      <rPr>
        <sz val="10"/>
        <rFont val="Arial"/>
        <family val="2"/>
      </rPr>
      <t>.</t>
    </r>
  </si>
  <si>
    <r>
      <t xml:space="preserve">      In the </t>
    </r>
    <r>
      <rPr>
        <b/>
        <sz val="10"/>
        <rFont val="Arial"/>
        <family val="2"/>
      </rPr>
      <t>Subject to the Constraints</t>
    </r>
    <r>
      <rPr>
        <sz val="10"/>
        <rFont val="Arial"/>
        <family val="2"/>
      </rPr>
      <t xml:space="preserve"> window, </t>
    </r>
    <r>
      <rPr>
        <b/>
        <sz val="10"/>
        <rFont val="Arial"/>
        <family val="2"/>
      </rPr>
      <t>Add</t>
    </r>
    <r>
      <rPr>
        <sz val="10"/>
        <rFont val="Arial"/>
        <family val="2"/>
      </rPr>
      <t xml:space="preserve"> a constraint, click </t>
    </r>
    <r>
      <rPr>
        <b/>
        <sz val="10"/>
        <rFont val="Arial"/>
        <family val="2"/>
      </rPr>
      <t>Cell Reference</t>
    </r>
    <r>
      <rPr>
        <sz val="10"/>
        <rFont val="Arial"/>
        <family val="2"/>
      </rPr>
      <t xml:space="preserve">, make it the prior correlation, and make it &gt;= -0.9. Click </t>
    </r>
    <r>
      <rPr>
        <b/>
        <sz val="10"/>
        <rFont val="Arial"/>
        <family val="2"/>
      </rPr>
      <t>Add</t>
    </r>
    <r>
      <rPr>
        <sz val="10"/>
        <rFont val="Arial"/>
        <family val="2"/>
      </rPr>
      <t xml:space="preserve">. Then add another constraint making the sample size &gt;= 4. Click </t>
    </r>
    <r>
      <rPr>
        <b/>
        <sz val="10"/>
        <rFont val="Arial"/>
        <family val="2"/>
      </rPr>
      <t>Solve</t>
    </r>
    <r>
      <rPr>
        <sz val="10"/>
        <rFont val="Arial"/>
        <family val="2"/>
      </rPr>
      <t>.</t>
    </r>
  </si>
  <si>
    <r>
      <t xml:space="preserve">      If you see </t>
    </r>
    <r>
      <rPr>
        <b/>
        <sz val="10"/>
        <rFont val="Arial"/>
        <family val="2"/>
      </rPr>
      <t>Solver has converged to the correct solution</t>
    </r>
    <r>
      <rPr>
        <sz val="10"/>
        <rFont val="Arial"/>
        <family val="2"/>
      </rPr>
      <t xml:space="preserve">, click </t>
    </r>
    <r>
      <rPr>
        <b/>
        <sz val="10"/>
        <rFont val="Arial"/>
        <family val="2"/>
      </rPr>
      <t>OK</t>
    </r>
    <r>
      <rPr>
        <sz val="10"/>
        <rFont val="Arial"/>
        <family val="2"/>
      </rPr>
      <t>, and the prior's mean and sample size will be shown. Check that the posterior LCL and UCL are those of the full Bayesian analysis.</t>
    </r>
  </si>
  <si>
    <r>
      <t xml:space="preserve">      If you see </t>
    </r>
    <r>
      <rPr>
        <b/>
        <sz val="10"/>
        <rFont val="Arial"/>
        <family val="2"/>
      </rPr>
      <t>The Objective Cell values do not converge</t>
    </r>
    <r>
      <rPr>
        <sz val="10"/>
        <rFont val="Arial"/>
        <family val="2"/>
      </rPr>
      <t xml:space="preserve">, the full Bayesian posterior's CI is probably wider than the observed CI (or what it would be for the sample size), so something is wrong with the full Bayesian analysis.  </t>
    </r>
  </si>
  <si>
    <r>
      <t xml:space="preserve">Click on the tabs below for spreadsheets that handle </t>
    </r>
    <r>
      <rPr>
        <b/>
        <sz val="11"/>
        <color indexed="60"/>
        <rFont val="Arial"/>
        <family val="2"/>
      </rPr>
      <t>1 or more groups or statistics</t>
    </r>
    <r>
      <rPr>
        <sz val="11"/>
        <color indexed="60"/>
        <rFont val="Arial"/>
        <family val="2"/>
      </rPr>
      <t xml:space="preserve"> and </t>
    </r>
    <r>
      <rPr>
        <b/>
        <sz val="11"/>
        <color indexed="60"/>
        <rFont val="Arial"/>
        <family val="2"/>
      </rPr>
      <t>Bayesian analyses</t>
    </r>
    <r>
      <rPr>
        <sz val="11"/>
        <color indexed="60"/>
        <rFont val="Arial"/>
        <family val="2"/>
      </rPr>
      <t>.</t>
    </r>
  </si>
  <si>
    <r>
      <t xml:space="preserve">See the article at Sportscience for the background on Bayesian assessment of effects. I now refer to a prior for the effect as a </t>
    </r>
    <r>
      <rPr>
        <i/>
        <sz val="10"/>
        <rFont val="Arial"/>
        <family val="2"/>
      </rPr>
      <t>Greenland</t>
    </r>
    <r>
      <rPr>
        <sz val="10"/>
        <rFont val="Arial"/>
        <family val="2"/>
      </rPr>
      <t xml:space="preserve"> prior, to distinguish it from priors of parameters in a full Bayesian analysis.</t>
    </r>
  </si>
  <si>
    <t>The observed effect is for an observational study with sample size (27) 1/10th of the minimum desirable (~270) for magnitude-based decisions.</t>
  </si>
  <si>
    <t>1.  Combining Means and Other t-Distributed or Normally Distributed Statistics (including random-effect variances)</t>
  </si>
  <si>
    <t>2.  Combining Percent and Factor Effects on Means (including random-effect variances)</t>
  </si>
  <si>
    <t>2.  Combining Percent and Factor Outcomes (including random-effect variances)</t>
  </si>
  <si>
    <t>(If the need ever arises, use it also to get ratios of SDs, which are approximately log-normally distributed. You will need to convert the smallest important difference in the SDs into a smallest important ratio.)</t>
  </si>
  <si>
    <t>Use this section for comparison of relative rates in the form of count, risk, odds or hazard ratios.</t>
  </si>
  <si>
    <t xml:space="preserve">   If you decide to use the odds ratio approach, report the effect with its qualitative chances of benefit (possible, likely etc.), but not necessarily the odds ratio itself.</t>
  </si>
  <si>
    <t>Magnitude-based Inferences or Decisions</t>
  </si>
  <si>
    <t xml:space="preserve">    That is, the effect could be substantially positive and negative (or higher and lower).</t>
  </si>
  <si>
    <t xml:space="preserve">    That is, the effect could be beneficial and therefore potentially implementable, but the risk of harm is too high.</t>
  </si>
  <si>
    <t>Otherwise the effect is clear (or better: the effect has adequate precision}, and you report its observed magnitude and the chances that it is substantial and/or trivial.</t>
  </si>
  <si>
    <r>
      <t xml:space="preserve">Use </t>
    </r>
    <r>
      <rPr>
        <i/>
        <sz val="10"/>
        <rFont val="Arial"/>
        <family val="2"/>
      </rPr>
      <t>clear</t>
    </r>
    <r>
      <rPr>
        <sz val="10"/>
        <rFont val="Arial"/>
        <family val="2"/>
      </rPr>
      <t xml:space="preserve"> or </t>
    </r>
    <r>
      <rPr>
        <i/>
        <sz val="10"/>
        <rFont val="Arial"/>
        <family val="2"/>
      </rPr>
      <t>clearly</t>
    </r>
    <r>
      <rPr>
        <sz val="10"/>
        <rFont val="Arial"/>
        <family val="2"/>
      </rPr>
      <t xml:space="preserve"> to describe a magnitude only when that magnitude is at least very likely (chances &gt;95%). </t>
    </r>
  </si>
  <si>
    <t>The spreadsheet provides the decision and the chances on which they are based.</t>
  </si>
  <si>
    <t>The chances are given plain-language terms, according to this scale, showing the chances and the terms:</t>
  </si>
  <si>
    <t>Changing these numbers won't change the chances of the true magnitude of an effect, but it may change their qualitative interpretation and the decision about the effect.</t>
  </si>
  <si>
    <t>There is also a less conservative clinical decision, based on the odds of benefit outweighing the odds of harm.</t>
  </si>
  <si>
    <r>
      <t xml:space="preserve">    In such analyses, you may report the chances for the magnitude band in which the effect falls; for example, </t>
    </r>
    <r>
      <rPr>
        <i/>
        <sz val="10"/>
        <rFont val="Arial"/>
        <family val="2"/>
      </rPr>
      <t>a possibly large increase in performance.</t>
    </r>
  </si>
  <si>
    <r>
      <t xml:space="preserve">For more on thresholds for important effects, see the article on </t>
    </r>
    <r>
      <rPr>
        <b/>
        <sz val="10"/>
        <color indexed="60"/>
        <rFont val="Arial"/>
        <family val="2"/>
      </rPr>
      <t>Linear Models and Effect Magnitudes</t>
    </r>
    <r>
      <rPr>
        <sz val="10"/>
        <color indexed="60"/>
        <rFont val="Arial"/>
        <family val="2"/>
      </rPr>
      <t xml:space="preserve"> at https://www.sportsci.org/2010/wghlinmod.htm.</t>
    </r>
  </si>
  <si>
    <r>
      <t xml:space="preserve">See see also the Appendix of the article </t>
    </r>
    <r>
      <rPr>
        <b/>
        <sz val="10"/>
        <color indexed="60"/>
        <rFont val="Arial"/>
        <family val="2"/>
      </rPr>
      <t>Magnitude-based Decisions as Hypothesis tests</t>
    </r>
    <r>
      <rPr>
        <sz val="10"/>
        <color indexed="60"/>
        <rFont val="Arial"/>
        <family val="2"/>
      </rPr>
      <t xml:space="preserve"> at https://www.sportsci.org/2020/MBDtests.htm, and recent publications</t>
    </r>
  </si>
  <si>
    <t xml:space="preserve">   by WG Hopkins and colleagues for ways in which to report uncertainty in magnitudes of effects.</t>
  </si>
  <si>
    <r>
      <t>A SPREADSHEET FOR COMBINING A GREENLAND PRIOR WITH AN OBSERVED EFFECT TO OBTAIN A BAYESIAN</t>
    </r>
    <r>
      <rPr>
        <b/>
        <sz val="11"/>
        <color indexed="10"/>
        <rFont val="Arial"/>
        <family val="2"/>
      </rPr>
      <t xml:space="preserve"> </t>
    </r>
    <r>
      <rPr>
        <b/>
        <sz val="11"/>
        <rFont val="Arial"/>
        <family val="2"/>
      </rPr>
      <t>POSTERIOR AND MAGNITUDE-BASED INFERENCE</t>
    </r>
  </si>
  <si>
    <t>Use this spreadsheet to derive confidence or compatibility limits and decisions for the difference and/or mean of two independent outcome statistics (effects) from their values and limits.</t>
  </si>
  <si>
    <r>
      <t xml:space="preserve">Use this spreadsheet to derive confidence or compatibility limits for customized combinations of </t>
    </r>
    <r>
      <rPr>
        <b/>
        <sz val="10"/>
        <rFont val="Arial"/>
        <family val="2"/>
      </rPr>
      <t>more than two independent values of an effect statistic</t>
    </r>
    <r>
      <rPr>
        <sz val="10"/>
        <rFont val="Arial"/>
        <family val="2"/>
      </rPr>
      <t>, using the values and their limits.</t>
    </r>
  </si>
  <si>
    <t>This spreadsheet uses Greenland's method to combine his prior with an observed effect to give the Bayesian posterior confidence or compatibility limits and a magnitude-based decision for the following effect statistics:</t>
  </si>
  <si>
    <r>
      <t xml:space="preserve">If all you have is a p value for the observed effect, generate compatibility limits using the spreadsheet </t>
    </r>
    <r>
      <rPr>
        <b/>
        <sz val="10"/>
        <rFont val="Arial"/>
        <family val="2"/>
      </rPr>
      <t xml:space="preserve">Convert p values to MBI </t>
    </r>
    <r>
      <rPr>
        <sz val="10"/>
        <rFont val="Arial"/>
        <family val="2"/>
      </rPr>
      <t>at this site.</t>
    </r>
  </si>
  <si>
    <r>
      <t xml:space="preserve">If all you have is a p value for the observed effect, generate compatibility limits using the spreadsheet </t>
    </r>
    <r>
      <rPr>
        <b/>
        <sz val="10"/>
        <rFont val="Arial"/>
        <family val="2"/>
      </rPr>
      <t>Convert p values to MBI</t>
    </r>
    <r>
      <rPr>
        <sz val="10"/>
        <rFont val="Arial"/>
        <family val="2"/>
      </rPr>
      <t xml:space="preserve"> at this site.</t>
    </r>
  </si>
  <si>
    <r>
      <t xml:space="preserve">If all you have is a p value for the observed factor effect, generate its compatibility limits using the spreadsheet </t>
    </r>
    <r>
      <rPr>
        <b/>
        <sz val="10"/>
        <rFont val="Arial"/>
        <family val="2"/>
      </rPr>
      <t>Convert p values to MBI</t>
    </r>
    <r>
      <rPr>
        <sz val="10"/>
        <rFont val="Arial"/>
        <family val="2"/>
      </rPr>
      <t xml:space="preserve"> at this site.</t>
    </r>
  </si>
  <si>
    <r>
      <rPr>
        <b/>
        <sz val="10"/>
        <color indexed="60"/>
        <rFont val="Arial"/>
        <family val="2"/>
      </rPr>
      <t>This spreadsheet does not provide qualitative interpretations</t>
    </r>
    <r>
      <rPr>
        <sz val="10"/>
        <color indexed="60"/>
        <rFont val="Arial"/>
        <family val="2"/>
      </rPr>
      <t xml:space="preserve"> (trivial, small, moderate, etc.) of the observed effect or the confidence limits. You have to work these out.</t>
    </r>
  </si>
  <si>
    <t>Use this method to combine statistics such as differences in means, changes in means, or differences between changes in means, in raw units or in percent units &lt;10%.</t>
  </si>
  <si>
    <t>The default threshold for Pearson correlations between individuals is 0.1. A smallest important (threshold) correlation isn't appropriate for validity and reliability correlations.</t>
  </si>
  <si>
    <t>If you use this spreadsheet to compare two statistics from the same subjects, the confidence interval for the difference will usually be too wide,</t>
  </si>
  <si>
    <t xml:space="preserve">and the confidence interval for the mean will usually be too narrow.  There is no way to combine such non-independent statistics in the absence of any other information.  </t>
  </si>
  <si>
    <t>You need the confidence limits for each statistic.  If all you have is a p value, generate confidence limits with the spreadsheet Convert p values to MBI.</t>
  </si>
  <si>
    <t>(A mistake here has little effect on the confidence limits, especially for &gt;30 degrees of freedom.)</t>
  </si>
  <si>
    <t>Convert the derived factor and confidence limits back into percents if they are &lt;~1.5 or &gt;~0.5; otherwise report them as factors.</t>
  </si>
  <si>
    <t>This assumption is usual for rate and count ratios and is the basis for derivation of their confidence limits.</t>
  </si>
  <si>
    <t>The confidence limits are not symmetrical about the derived value, hence the "±" form of the limits is approximate only.</t>
  </si>
  <si>
    <t>The confidence limits for the A-B difference have to be evaluated at a chosen value of the correlation.  I have chosen the B value as obviously more appropriate than the A.</t>
  </si>
  <si>
    <t xml:space="preserve">Approximate confidence limits are derived by assuming the combined correlation is normally distributed, using the z score for the combined Fisher-z transformed values. For more, read the Update 2018 comment. </t>
  </si>
  <si>
    <t xml:space="preserve">You can also use it with a single effect statistic and its confidence limits to do probabilistic magnitude-based decisions or to change the level of the confidence limits. </t>
  </si>
  <si>
    <t xml:space="preserve">For magnitude-based decisions with a single group or to change the level of its confidence limits, put "1" in its row and "0" in any others. </t>
  </si>
  <si>
    <t xml:space="preserve">   To comine random effects, use either a simple arithmetic mean and the CONFIDENCE function in Excel, or (better) use a random-effect meta-analytic model, which properly combines the uncertainties.</t>
  </si>
  <si>
    <r>
      <t xml:space="preserve">The cells in </t>
    </r>
    <r>
      <rPr>
        <b/>
        <sz val="10"/>
        <color indexed="20"/>
        <rFont val="Arial"/>
        <family val="2"/>
      </rPr>
      <t>plum</t>
    </r>
    <r>
      <rPr>
        <sz val="10"/>
        <rFont val="Arial"/>
        <family val="2"/>
      </rPr>
      <t xml:space="preserve"> change when you enter data in some other connected cell.  These cells usually don't need changing directly, but you can change them.</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</si>
</sst>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00"/>
    <numFmt numFmtId="175" formatCode="0.00000"/>
    <numFmt numFmtId="176" formatCode="0.0000"/>
  </numFmts>
  <fonts count="101">
    <font>
      <sz val="10"/>
      <name val="Arial"/>
      <family val="0"/>
    </font>
    <font>
      <b/>
      <sz val="10"/>
      <name val="Arial"/>
      <family val="2"/>
    </font>
    <font>
      <sz val="9"/>
      <name val="Arial"/>
      <family val="2"/>
    </font>
    <font>
      <b/>
      <sz val="10"/>
      <color indexed="10"/>
      <name val="Arial"/>
      <family val="2"/>
    </font>
    <font>
      <sz val="8"/>
      <color indexed="23"/>
      <name val="Arial"/>
      <family val="2"/>
    </font>
    <font>
      <b/>
      <sz val="10"/>
      <color indexed="12"/>
      <name val="Arial"/>
      <family val="2"/>
    </font>
    <font>
      <b/>
      <sz val="10"/>
      <color indexed="61"/>
      <name val="Arial"/>
      <family val="2"/>
    </font>
    <font>
      <sz val="8"/>
      <color indexed="10"/>
      <name val="Arial"/>
      <family val="2"/>
    </font>
    <font>
      <sz val="10"/>
      <color indexed="23"/>
      <name val="Arial"/>
      <family val="2"/>
    </font>
    <font>
      <b/>
      <sz val="10"/>
      <color indexed="20"/>
      <name val="Arial"/>
      <family val="2"/>
    </font>
    <font>
      <sz val="10"/>
      <color indexed="20"/>
      <name val="Arial"/>
      <family val="2"/>
    </font>
    <font>
      <b/>
      <sz val="11"/>
      <name val="Arial"/>
      <family val="2"/>
    </font>
    <font>
      <sz val="11"/>
      <name val="Arial"/>
      <family val="2"/>
    </font>
    <font>
      <sz val="10"/>
      <name val="Symbol"/>
      <family val="1"/>
    </font>
    <font>
      <sz val="10"/>
      <color indexed="57"/>
      <name val="Arial"/>
      <family val="2"/>
    </font>
    <font>
      <b/>
      <sz val="10"/>
      <color indexed="53"/>
      <name val="Arial"/>
      <family val="2"/>
    </font>
    <font>
      <sz val="9"/>
      <color indexed="10"/>
      <name val="Arial"/>
      <family val="2"/>
    </font>
    <font>
      <sz val="8"/>
      <name val="Arial"/>
      <family val="2"/>
    </font>
    <font>
      <u val="single"/>
      <sz val="7.5"/>
      <color indexed="12"/>
      <name val="Arial"/>
      <family val="2"/>
    </font>
    <font>
      <u val="single"/>
      <sz val="7.5"/>
      <color indexed="36"/>
      <name val="Arial"/>
      <family val="2"/>
    </font>
    <font>
      <sz val="9"/>
      <name val="Symbol"/>
      <family val="1"/>
    </font>
    <font>
      <sz val="10"/>
      <color indexed="12"/>
      <name val="Arial"/>
      <family val="2"/>
    </font>
    <font>
      <sz val="8"/>
      <name val="Tahoma"/>
      <family val="2"/>
    </font>
    <font>
      <b/>
      <sz val="10"/>
      <color indexed="60"/>
      <name val="Arial"/>
      <family val="2"/>
    </font>
    <font>
      <b/>
      <sz val="11"/>
      <color indexed="10"/>
      <name val="Arial"/>
      <family val="2"/>
    </font>
    <font>
      <sz val="10"/>
      <color indexed="61"/>
      <name val="Arial"/>
      <family val="2"/>
    </font>
    <font>
      <sz val="10"/>
      <color indexed="10"/>
      <name val="Arial"/>
      <family val="2"/>
    </font>
    <font>
      <sz val="9"/>
      <color indexed="20"/>
      <name val="Arial"/>
      <family val="2"/>
    </font>
    <font>
      <sz val="10"/>
      <color indexed="63"/>
      <name val="Arial"/>
      <family val="2"/>
    </font>
    <font>
      <sz val="10"/>
      <color indexed="18"/>
      <name val="Arial"/>
      <family val="2"/>
    </font>
    <font>
      <sz val="9"/>
      <color indexed="18"/>
      <name val="Arial"/>
      <family val="2"/>
    </font>
    <font>
      <sz val="8"/>
      <color indexed="18"/>
      <name val="Arial"/>
      <family val="2"/>
    </font>
    <font>
      <sz val="8"/>
      <color indexed="20"/>
      <name val="Arial"/>
      <family val="2"/>
    </font>
    <font>
      <b/>
      <sz val="10"/>
      <color indexed="18"/>
      <name val="Arial"/>
      <family val="2"/>
    </font>
    <font>
      <u val="single"/>
      <sz val="10"/>
      <color indexed="12"/>
      <name val="Arial"/>
      <family val="2"/>
    </font>
    <font>
      <i/>
      <sz val="10"/>
      <name val="Arial"/>
      <family val="2"/>
    </font>
    <font>
      <sz val="9"/>
      <name val="Tahoma"/>
      <family val="2"/>
    </font>
    <font>
      <vertAlign val="superscript"/>
      <sz val="10"/>
      <name val="Arial"/>
      <family val="2"/>
    </font>
    <font>
      <sz val="10"/>
      <color indexed="60"/>
      <name val="Arial"/>
      <family val="2"/>
    </font>
    <font>
      <b/>
      <sz val="11"/>
      <color indexed="60"/>
      <name val="Arial"/>
      <family val="2"/>
    </font>
    <font>
      <b/>
      <sz val="12"/>
      <color indexed="60"/>
      <name val="Arial"/>
      <family val="2"/>
    </font>
    <font>
      <b/>
      <sz val="9"/>
      <name val="Tahoma"/>
      <family val="2"/>
    </font>
    <font>
      <i/>
      <sz val="9"/>
      <name val="Tahoma"/>
      <family val="2"/>
    </font>
    <font>
      <b/>
      <i/>
      <sz val="10"/>
      <name val="Arial"/>
      <family val="2"/>
    </font>
    <font>
      <sz val="11"/>
      <color indexed="6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sz val="9"/>
      <color indexed="23"/>
      <name val="Arial"/>
      <family val="2"/>
    </font>
    <font>
      <sz val="8"/>
      <color indexed="60"/>
      <name val="Arial"/>
      <family val="2"/>
    </font>
    <font>
      <b/>
      <sz val="11"/>
      <name val="Calibri"/>
      <family val="2"/>
    </font>
    <font>
      <b/>
      <sz val="11"/>
      <color indexed="12"/>
      <name val="Calibri"/>
      <family val="2"/>
    </font>
    <font>
      <b/>
      <sz val="11"/>
      <color indexed="14"/>
      <name val="Calibri"/>
      <family val="2"/>
    </font>
    <font>
      <b/>
      <sz val="11"/>
      <color indexed="10"/>
      <name val="Calibri"/>
      <family val="2"/>
    </font>
    <font>
      <b/>
      <sz val="9"/>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theme="0" tint="-0.4999699890613556"/>
      <name val="Arial"/>
      <family val="2"/>
    </font>
    <font>
      <sz val="9"/>
      <color theme="0" tint="-0.4999699890613556"/>
      <name val="Arial"/>
      <family val="2"/>
    </font>
    <font>
      <sz val="8"/>
      <color rgb="FFFF0000"/>
      <name val="Arial"/>
      <family val="2"/>
    </font>
    <font>
      <sz val="8"/>
      <color rgb="FFC00000"/>
      <name val="Arial"/>
      <family val="2"/>
    </font>
    <font>
      <sz val="10"/>
      <color rgb="FFFF0000"/>
      <name val="Arial"/>
      <family val="2"/>
    </font>
    <font>
      <b/>
      <sz val="10"/>
      <color rgb="FF0000FF"/>
      <name val="Arial"/>
      <family val="2"/>
    </font>
    <font>
      <b/>
      <sz val="11"/>
      <color rgb="FF0000FF"/>
      <name val="Calibri"/>
      <family val="2"/>
    </font>
    <font>
      <b/>
      <sz val="11"/>
      <color rgb="FFCC00CC"/>
      <name val="Calibri"/>
      <family val="2"/>
    </font>
    <font>
      <b/>
      <sz val="11"/>
      <color rgb="FFFF0000"/>
      <name val="Calibri"/>
      <family val="2"/>
    </font>
    <font>
      <sz val="10"/>
      <color rgb="FFC00000"/>
      <name val="Arial"/>
      <family val="2"/>
    </font>
    <font>
      <b/>
      <sz val="9"/>
      <color rgb="FFC00000"/>
      <name val="Arial"/>
      <family val="2"/>
    </font>
    <font>
      <sz val="8"/>
      <color theme="0" tint="-0.4999699890613556"/>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theme="0" tint="-0.24997000396251678"/>
        <bgColor indexed="64"/>
      </patternFill>
    </fill>
    <fill>
      <patternFill patternType="solid">
        <fgColor rgb="FF969696"/>
        <bgColor indexed="64"/>
      </patternFill>
    </fill>
    <fill>
      <patternFill patternType="solid">
        <fgColor theme="0" tint="-0.1499900072813034"/>
        <bgColor indexed="64"/>
      </patternFill>
    </fill>
    <fill>
      <patternFill patternType="solid">
        <fgColor theme="0" tint="-0.0499799996614456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style="thin"/>
      <top>
        <color indexed="63"/>
      </top>
      <bottom>
        <color indexed="63"/>
      </bottom>
    </border>
    <border>
      <left style="thin"/>
      <right/>
      <top style="thin"/>
      <bottom style="medium"/>
    </border>
    <border>
      <left>
        <color indexed="63"/>
      </left>
      <right>
        <color indexed="63"/>
      </right>
      <top style="thin"/>
      <bottom style="medium"/>
    </border>
    <border>
      <left/>
      <right style="thin"/>
      <top style="thin"/>
      <bottom style="medium"/>
    </border>
    <border>
      <left>
        <color indexed="63"/>
      </left>
      <right>
        <color indexed="63"/>
      </right>
      <top style="thin"/>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24">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10" xfId="0" applyFont="1" applyBorder="1" applyAlignment="1">
      <alignment horizontal="center"/>
    </xf>
    <xf numFmtId="0" fontId="4" fillId="0" borderId="10" xfId="0" applyFont="1" applyBorder="1" applyAlignment="1">
      <alignment horizontal="centerContinuous"/>
    </xf>
    <xf numFmtId="1" fontId="4" fillId="0" borderId="10" xfId="0" applyNumberFormat="1" applyFont="1" applyBorder="1" applyAlignment="1">
      <alignment horizontal="center"/>
    </xf>
    <xf numFmtId="2" fontId="8" fillId="0" borderId="10" xfId="0" applyNumberFormat="1" applyFont="1" applyBorder="1" applyAlignment="1">
      <alignment horizontal="center"/>
    </xf>
    <xf numFmtId="2" fontId="9" fillId="0" borderId="0" xfId="0" applyNumberFormat="1" applyFont="1" applyFill="1" applyBorder="1" applyAlignment="1">
      <alignment horizontal="center"/>
    </xf>
    <xf numFmtId="0" fontId="0" fillId="0" borderId="0" xfId="0" applyFont="1" applyAlignment="1">
      <alignment/>
    </xf>
    <xf numFmtId="0" fontId="12" fillId="0" borderId="0" xfId="0" applyFont="1" applyBorder="1" applyAlignment="1">
      <alignment/>
    </xf>
    <xf numFmtId="0" fontId="0" fillId="0" borderId="0" xfId="0" applyFont="1" applyBorder="1" applyAlignment="1">
      <alignment/>
    </xf>
    <xf numFmtId="0" fontId="1" fillId="0" borderId="0" xfId="0" applyFont="1" applyAlignment="1">
      <alignment/>
    </xf>
    <xf numFmtId="0" fontId="1" fillId="0" borderId="0" xfId="0" applyFont="1" applyBorder="1" applyAlignment="1">
      <alignment/>
    </xf>
    <xf numFmtId="0" fontId="14" fillId="0" borderId="0" xfId="0" applyFont="1" applyAlignment="1">
      <alignment/>
    </xf>
    <xf numFmtId="0" fontId="14" fillId="0" borderId="0" xfId="0" applyFont="1" applyBorder="1" applyAlignment="1">
      <alignment/>
    </xf>
    <xf numFmtId="173" fontId="10" fillId="0" borderId="0" xfId="0" applyNumberFormat="1" applyFont="1" applyFill="1" applyBorder="1" applyAlignment="1">
      <alignment horizontal="center"/>
    </xf>
    <xf numFmtId="0" fontId="0" fillId="33" borderId="11" xfId="0" applyFont="1" applyFill="1" applyBorder="1" applyAlignment="1">
      <alignment horizontal="center"/>
    </xf>
    <xf numFmtId="0" fontId="0" fillId="0" borderId="0" xfId="0" applyFont="1" applyBorder="1" applyAlignment="1">
      <alignment/>
    </xf>
    <xf numFmtId="2" fontId="0" fillId="0" borderId="0" xfId="0" applyNumberFormat="1" applyFont="1" applyBorder="1" applyAlignment="1">
      <alignment horizontal="center"/>
    </xf>
    <xf numFmtId="0" fontId="1" fillId="34" borderId="12" xfId="0" applyFont="1" applyFill="1" applyBorder="1" applyAlignment="1">
      <alignment horizontal="center" wrapText="1"/>
    </xf>
    <xf numFmtId="0" fontId="1" fillId="35" borderId="12" xfId="0" applyFont="1" applyFill="1" applyBorder="1" applyAlignment="1">
      <alignment horizontal="center" wrapText="1"/>
    </xf>
    <xf numFmtId="0" fontId="0" fillId="0" borderId="0" xfId="0" applyBorder="1" applyAlignment="1">
      <alignment/>
    </xf>
    <xf numFmtId="0" fontId="0" fillId="33" borderId="10" xfId="0" applyFont="1"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wrapText="1"/>
    </xf>
    <xf numFmtId="0" fontId="2" fillId="33" borderId="10" xfId="0" applyFont="1" applyFill="1" applyBorder="1" applyAlignment="1">
      <alignment horizontal="center" wrapText="1"/>
    </xf>
    <xf numFmtId="0" fontId="0" fillId="33" borderId="13" xfId="0" applyFont="1" applyFill="1" applyBorder="1" applyAlignment="1">
      <alignment horizontal="centerContinuous"/>
    </xf>
    <xf numFmtId="0" fontId="0" fillId="33" borderId="15" xfId="0" applyFont="1" applyFill="1" applyBorder="1" applyAlignment="1">
      <alignment horizontal="centerContinuous"/>
    </xf>
    <xf numFmtId="0" fontId="0" fillId="33" borderId="14" xfId="0" applyFont="1" applyFill="1" applyBorder="1" applyAlignment="1">
      <alignment horizontal="centerContinuous"/>
    </xf>
    <xf numFmtId="0" fontId="0" fillId="0" borderId="0" xfId="0" applyFill="1" applyAlignment="1">
      <alignment/>
    </xf>
    <xf numFmtId="0" fontId="0" fillId="36" borderId="0" xfId="0" applyFont="1" applyFill="1" applyBorder="1" applyAlignment="1">
      <alignment/>
    </xf>
    <xf numFmtId="2" fontId="9" fillId="36" borderId="0" xfId="0" applyNumberFormat="1" applyFont="1" applyFill="1" applyBorder="1" applyAlignment="1">
      <alignment horizontal="center"/>
    </xf>
    <xf numFmtId="2" fontId="10" fillId="36" borderId="0" xfId="0" applyNumberFormat="1" applyFont="1" applyFill="1" applyBorder="1" applyAlignment="1">
      <alignment horizontal="center"/>
    </xf>
    <xf numFmtId="172" fontId="10" fillId="36" borderId="0" xfId="0" applyNumberFormat="1" applyFont="1" applyFill="1" applyBorder="1" applyAlignment="1">
      <alignment horizontal="center"/>
    </xf>
    <xf numFmtId="0" fontId="14" fillId="36" borderId="0" xfId="0" applyFont="1" applyFill="1" applyBorder="1" applyAlignment="1">
      <alignment/>
    </xf>
    <xf numFmtId="0" fontId="0" fillId="33" borderId="10" xfId="0" applyFont="1" applyFill="1" applyBorder="1" applyAlignment="1">
      <alignment/>
    </xf>
    <xf numFmtId="0" fontId="2" fillId="33" borderId="14" xfId="0" applyFont="1" applyFill="1" applyBorder="1" applyAlignment="1">
      <alignment horizontal="center" wrapText="1"/>
    </xf>
    <xf numFmtId="0" fontId="2" fillId="33" borderId="14" xfId="0" applyFont="1" applyFill="1" applyBorder="1" applyAlignment="1">
      <alignment wrapText="1"/>
    </xf>
    <xf numFmtId="0" fontId="2" fillId="33" borderId="13" xfId="0" applyFont="1" applyFill="1" applyBorder="1" applyAlignment="1">
      <alignment horizontal="center" wrapText="1"/>
    </xf>
    <xf numFmtId="0" fontId="2" fillId="33" borderId="15" xfId="0" applyFont="1" applyFill="1" applyBorder="1" applyAlignment="1">
      <alignment horizontal="center" wrapText="1"/>
    </xf>
    <xf numFmtId="0" fontId="0" fillId="36" borderId="0" xfId="0" applyFont="1" applyFill="1" applyBorder="1" applyAlignment="1">
      <alignment/>
    </xf>
    <xf numFmtId="0" fontId="0" fillId="0" borderId="0" xfId="0" applyFont="1" applyFill="1" applyBorder="1" applyAlignment="1">
      <alignment/>
    </xf>
    <xf numFmtId="0" fontId="0" fillId="0" borderId="16" xfId="0" applyBorder="1" applyAlignment="1">
      <alignment/>
    </xf>
    <xf numFmtId="0" fontId="0" fillId="0" borderId="17" xfId="0" applyFont="1" applyBorder="1" applyAlignment="1">
      <alignment/>
    </xf>
    <xf numFmtId="0" fontId="0" fillId="36" borderId="16" xfId="0" applyFill="1" applyBorder="1" applyAlignment="1">
      <alignment/>
    </xf>
    <xf numFmtId="0" fontId="0" fillId="36" borderId="17" xfId="0" applyFont="1" applyFill="1" applyBorder="1" applyAlignment="1">
      <alignment/>
    </xf>
    <xf numFmtId="0" fontId="0" fillId="36" borderId="18" xfId="0" applyFill="1" applyBorder="1" applyAlignment="1">
      <alignment/>
    </xf>
    <xf numFmtId="0" fontId="0" fillId="36" borderId="19" xfId="0" applyFont="1" applyFill="1" applyBorder="1" applyAlignment="1">
      <alignment/>
    </xf>
    <xf numFmtId="0" fontId="0" fillId="36" borderId="20" xfId="0" applyFont="1" applyFill="1" applyBorder="1" applyAlignment="1">
      <alignment/>
    </xf>
    <xf numFmtId="0" fontId="14" fillId="36" borderId="19" xfId="0" applyFont="1" applyFill="1" applyBorder="1" applyAlignment="1">
      <alignment/>
    </xf>
    <xf numFmtId="0" fontId="4" fillId="0" borderId="14" xfId="0" applyFont="1" applyBorder="1" applyAlignment="1">
      <alignment horizontal="center"/>
    </xf>
    <xf numFmtId="0" fontId="12" fillId="0" borderId="17" xfId="0" applyFont="1" applyBorder="1" applyAlignment="1">
      <alignment/>
    </xf>
    <xf numFmtId="0" fontId="1" fillId="0" borderId="17" xfId="0" applyFont="1" applyBorder="1" applyAlignment="1">
      <alignment/>
    </xf>
    <xf numFmtId="0" fontId="15" fillId="0" borderId="0" xfId="0" applyFont="1" applyBorder="1" applyAlignment="1">
      <alignment/>
    </xf>
    <xf numFmtId="0" fontId="14" fillId="0" borderId="17" xfId="0" applyFont="1" applyBorder="1" applyAlignment="1">
      <alignment/>
    </xf>
    <xf numFmtId="0" fontId="15" fillId="36" borderId="0" xfId="0" applyFont="1" applyFill="1" applyBorder="1" applyAlignment="1">
      <alignment/>
    </xf>
    <xf numFmtId="2" fontId="9" fillId="36" borderId="19" xfId="0" applyNumberFormat="1" applyFont="1" applyFill="1" applyBorder="1" applyAlignment="1">
      <alignment horizontal="center"/>
    </xf>
    <xf numFmtId="173" fontId="10" fillId="36" borderId="19" xfId="0" applyNumberFormat="1" applyFont="1" applyFill="1" applyBorder="1" applyAlignment="1">
      <alignment horizontal="center"/>
    </xf>
    <xf numFmtId="0" fontId="0" fillId="0" borderId="17" xfId="0" applyFont="1" applyBorder="1" applyAlignment="1">
      <alignment/>
    </xf>
    <xf numFmtId="0" fontId="0" fillId="36" borderId="16" xfId="0" applyFont="1" applyFill="1" applyBorder="1" applyAlignment="1">
      <alignment/>
    </xf>
    <xf numFmtId="0" fontId="1" fillId="36" borderId="0" xfId="0" applyFont="1" applyFill="1" applyBorder="1" applyAlignment="1">
      <alignment/>
    </xf>
    <xf numFmtId="0" fontId="0" fillId="36" borderId="16" xfId="0" applyFont="1" applyFill="1" applyBorder="1" applyAlignment="1">
      <alignment/>
    </xf>
    <xf numFmtId="0" fontId="0" fillId="36" borderId="17" xfId="0" applyFont="1" applyFill="1" applyBorder="1" applyAlignment="1">
      <alignment/>
    </xf>
    <xf numFmtId="0" fontId="0" fillId="36" borderId="18" xfId="0" applyFont="1" applyFill="1" applyBorder="1" applyAlignment="1">
      <alignment/>
    </xf>
    <xf numFmtId="0" fontId="0" fillId="36" borderId="19" xfId="0" applyFont="1" applyFill="1" applyBorder="1" applyAlignment="1">
      <alignment/>
    </xf>
    <xf numFmtId="0" fontId="0" fillId="36" borderId="20" xfId="0" applyFont="1" applyFill="1" applyBorder="1" applyAlignment="1">
      <alignment/>
    </xf>
    <xf numFmtId="172" fontId="8" fillId="0" borderId="0" xfId="0" applyNumberFormat="1" applyFont="1" applyBorder="1" applyAlignment="1">
      <alignment horizontal="center" vertical="center"/>
    </xf>
    <xf numFmtId="1" fontId="8" fillId="0" borderId="0" xfId="0" applyNumberFormat="1" applyFont="1" applyBorder="1" applyAlignment="1">
      <alignment horizontal="center" vertical="center"/>
    </xf>
    <xf numFmtId="0" fontId="23" fillId="36" borderId="0" xfId="0" applyFont="1" applyFill="1" applyBorder="1" applyAlignment="1">
      <alignment/>
    </xf>
    <xf numFmtId="0" fontId="15" fillId="36" borderId="19" xfId="0" applyFont="1" applyFill="1" applyBorder="1" applyAlignment="1">
      <alignment/>
    </xf>
    <xf numFmtId="0" fontId="23" fillId="36" borderId="19" xfId="0" applyFont="1" applyFill="1" applyBorder="1" applyAlignment="1">
      <alignment/>
    </xf>
    <xf numFmtId="0" fontId="11" fillId="0" borderId="0" xfId="0" applyFont="1" applyBorder="1" applyAlignment="1">
      <alignment/>
    </xf>
    <xf numFmtId="2" fontId="8" fillId="0" borderId="10" xfId="0" applyNumberFormat="1" applyFont="1" applyBorder="1" applyAlignment="1">
      <alignment horizontal="center" vertical="center"/>
    </xf>
    <xf numFmtId="0" fontId="0" fillId="33" borderId="15" xfId="0" applyFont="1" applyFill="1" applyBorder="1" applyAlignment="1">
      <alignment horizontal="center"/>
    </xf>
    <xf numFmtId="0" fontId="2" fillId="33" borderId="21" xfId="0" applyFont="1" applyFill="1" applyBorder="1" applyAlignment="1">
      <alignment horizontal="center" wrapText="1"/>
    </xf>
    <xf numFmtId="0" fontId="5" fillId="37" borderId="10" xfId="0" applyNumberFormat="1" applyFont="1" applyFill="1" applyBorder="1" applyAlignment="1">
      <alignment horizontal="center" vertical="center"/>
    </xf>
    <xf numFmtId="2" fontId="0" fillId="0" borderId="0" xfId="0" applyNumberFormat="1" applyFont="1" applyBorder="1" applyAlignment="1">
      <alignment/>
    </xf>
    <xf numFmtId="0" fontId="0" fillId="0" borderId="1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33" borderId="21" xfId="0" applyFont="1" applyFill="1" applyBorder="1" applyAlignment="1">
      <alignment horizontal="center"/>
    </xf>
    <xf numFmtId="0" fontId="0" fillId="36" borderId="16" xfId="0" applyFill="1" applyBorder="1" applyAlignment="1">
      <alignment vertical="center"/>
    </xf>
    <xf numFmtId="0" fontId="5" fillId="37" borderId="10" xfId="0" applyFont="1" applyFill="1" applyBorder="1" applyAlignment="1">
      <alignment horizontal="center" vertical="center"/>
    </xf>
    <xf numFmtId="0" fontId="0" fillId="36" borderId="17" xfId="0" applyFont="1" applyFill="1" applyBorder="1" applyAlignment="1">
      <alignment vertical="center"/>
    </xf>
    <xf numFmtId="2" fontId="8" fillId="0" borderId="14" xfId="0" applyNumberFormat="1" applyFont="1" applyBorder="1" applyAlignment="1">
      <alignment horizontal="center" vertical="center"/>
    </xf>
    <xf numFmtId="0" fontId="0" fillId="0" borderId="0" xfId="0" applyAlignment="1">
      <alignment vertical="center"/>
    </xf>
    <xf numFmtId="0" fontId="6" fillId="37" borderId="10" xfId="0" applyNumberFormat="1" applyFont="1" applyFill="1" applyBorder="1" applyAlignment="1">
      <alignment horizontal="center" vertical="center"/>
    </xf>
    <xf numFmtId="0" fontId="0" fillId="36" borderId="0" xfId="0" applyFont="1" applyFill="1" applyBorder="1" applyAlignment="1">
      <alignment vertical="center"/>
    </xf>
    <xf numFmtId="2" fontId="9" fillId="36" borderId="0" xfId="0" applyNumberFormat="1" applyFont="1" applyFill="1" applyBorder="1" applyAlignment="1">
      <alignment horizontal="center" vertical="center"/>
    </xf>
    <xf numFmtId="2" fontId="10" fillId="36" borderId="0" xfId="0" applyNumberFormat="1" applyFont="1" applyFill="1" applyBorder="1" applyAlignment="1">
      <alignment horizontal="center" vertical="center"/>
    </xf>
    <xf numFmtId="172" fontId="10" fillId="36" borderId="0" xfId="0" applyNumberFormat="1" applyFont="1" applyFill="1" applyBorder="1" applyAlignment="1">
      <alignment horizontal="center" vertical="center"/>
    </xf>
    <xf numFmtId="0" fontId="0" fillId="36" borderId="16" xfId="0" applyFont="1" applyFill="1" applyBorder="1" applyAlignment="1">
      <alignment vertical="center"/>
    </xf>
    <xf numFmtId="0" fontId="5" fillId="0" borderId="10" xfId="0" applyFont="1" applyBorder="1" applyAlignment="1">
      <alignment horizontal="center" vertical="center"/>
    </xf>
    <xf numFmtId="172" fontId="5" fillId="0" borderId="10"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2"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30" fillId="33" borderId="11" xfId="0" applyFont="1" applyFill="1" applyBorder="1" applyAlignment="1">
      <alignment horizontal="center" wrapText="1"/>
    </xf>
    <xf numFmtId="0" fontId="27" fillId="33" borderId="11" xfId="0" applyFont="1" applyFill="1" applyBorder="1" applyAlignment="1">
      <alignment horizontal="center" wrapText="1"/>
    </xf>
    <xf numFmtId="0" fontId="10" fillId="33" borderId="11" xfId="0" applyFont="1" applyFill="1" applyBorder="1" applyAlignment="1">
      <alignment horizontal="center" wrapText="1"/>
    </xf>
    <xf numFmtId="0" fontId="29" fillId="33" borderId="11" xfId="0" applyFont="1" applyFill="1" applyBorder="1" applyAlignment="1">
      <alignment horizontal="center" wrapText="1"/>
    </xf>
    <xf numFmtId="0" fontId="10" fillId="33" borderId="21" xfId="0" applyFont="1" applyFill="1" applyBorder="1" applyAlignment="1">
      <alignment horizontal="center"/>
    </xf>
    <xf numFmtId="0" fontId="29" fillId="33" borderId="21" xfId="0" applyFont="1" applyFill="1" applyBorder="1" applyAlignment="1">
      <alignment horizontal="center"/>
    </xf>
    <xf numFmtId="0" fontId="0" fillId="0" borderId="0" xfId="0" applyFill="1" applyBorder="1" applyAlignment="1">
      <alignment/>
    </xf>
    <xf numFmtId="0" fontId="0" fillId="0" borderId="0" xfId="0" applyFont="1" applyFill="1" applyBorder="1" applyAlignment="1">
      <alignment vertical="center"/>
    </xf>
    <xf numFmtId="0" fontId="0" fillId="0" borderId="0" xfId="0" applyFont="1" applyFill="1" applyAlignment="1">
      <alignment/>
    </xf>
    <xf numFmtId="0" fontId="12"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0" fontId="14" fillId="0" borderId="0" xfId="0" applyFont="1" applyFill="1" applyBorder="1" applyAlignment="1">
      <alignment/>
    </xf>
    <xf numFmtId="0" fontId="1" fillId="35" borderId="12" xfId="0" applyFont="1" applyFill="1" applyBorder="1" applyAlignment="1">
      <alignment horizontal="center" vertical="center" wrapText="1"/>
    </xf>
    <xf numFmtId="0" fontId="0" fillId="33" borderId="1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4" xfId="0" applyFont="1" applyFill="1" applyBorder="1" applyAlignment="1">
      <alignment horizontal="center" vertical="center"/>
    </xf>
    <xf numFmtId="0" fontId="4" fillId="0" borderId="10" xfId="0" applyFont="1" applyBorder="1" applyAlignment="1">
      <alignment horizontal="centerContinuous" vertical="center"/>
    </xf>
    <xf numFmtId="1" fontId="4" fillId="0" borderId="10" xfId="0" applyNumberFormat="1" applyFont="1" applyBorder="1" applyAlignment="1">
      <alignment horizontal="center" vertical="center"/>
    </xf>
    <xf numFmtId="0" fontId="14" fillId="36" borderId="0" xfId="0" applyFont="1" applyFill="1" applyBorder="1" applyAlignment="1">
      <alignment vertical="center"/>
    </xf>
    <xf numFmtId="0" fontId="0" fillId="36" borderId="0" xfId="0" applyFill="1" applyBorder="1" applyAlignment="1">
      <alignment vertical="center"/>
    </xf>
    <xf numFmtId="0" fontId="14" fillId="36" borderId="17" xfId="0" applyFont="1" applyFill="1" applyBorder="1" applyAlignment="1">
      <alignment vertical="center"/>
    </xf>
    <xf numFmtId="0" fontId="9" fillId="33" borderId="21" xfId="0" applyFont="1" applyFill="1" applyBorder="1" applyAlignment="1">
      <alignment horizontal="center"/>
    </xf>
    <xf numFmtId="0" fontId="33" fillId="33" borderId="21" xfId="0" applyFont="1" applyFill="1" applyBorder="1" applyAlignment="1">
      <alignment horizontal="center"/>
    </xf>
    <xf numFmtId="0" fontId="0" fillId="0" borderId="17" xfId="0" applyBorder="1" applyAlignment="1">
      <alignment/>
    </xf>
    <xf numFmtId="172" fontId="3" fillId="38" borderId="22" xfId="0" applyNumberFormat="1" applyFont="1" applyFill="1" applyBorder="1" applyAlignment="1">
      <alignment horizontal="right" vertical="center"/>
    </xf>
    <xf numFmtId="1" fontId="3" fillId="38" borderId="23" xfId="0" applyNumberFormat="1" applyFont="1" applyFill="1" applyBorder="1" applyAlignment="1">
      <alignment horizontal="left" vertical="center"/>
    </xf>
    <xf numFmtId="172" fontId="3" fillId="39" borderId="22" xfId="0" applyNumberFormat="1" applyFont="1" applyFill="1" applyBorder="1" applyAlignment="1">
      <alignment horizontal="right" vertical="center"/>
    </xf>
    <xf numFmtId="1" fontId="3" fillId="39" borderId="23" xfId="0" applyNumberFormat="1" applyFont="1" applyFill="1" applyBorder="1" applyAlignment="1">
      <alignment horizontal="left" vertical="center"/>
    </xf>
    <xf numFmtId="0" fontId="2"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16" xfId="0" applyFont="1" applyBorder="1" applyAlignment="1">
      <alignment horizontal="center" vertical="center" wrapText="1"/>
    </xf>
    <xf numFmtId="0" fontId="0" fillId="0" borderId="0" xfId="0" applyFont="1" applyFill="1" applyBorder="1" applyAlignment="1">
      <alignment horizontal="left" vertical="center"/>
    </xf>
    <xf numFmtId="0" fontId="21"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6" xfId="0" applyFont="1" applyFill="1" applyBorder="1" applyAlignment="1">
      <alignment/>
    </xf>
    <xf numFmtId="0" fontId="0" fillId="0" borderId="16" xfId="0" applyFont="1" applyBorder="1" applyAlignment="1">
      <alignment/>
    </xf>
    <xf numFmtId="0" fontId="1" fillId="40" borderId="24" xfId="0" applyFont="1" applyFill="1" applyBorder="1" applyAlignment="1">
      <alignment/>
    </xf>
    <xf numFmtId="0" fontId="12" fillId="0" borderId="0" xfId="0" applyFont="1" applyBorder="1" applyAlignment="1">
      <alignment/>
    </xf>
    <xf numFmtId="0" fontId="12" fillId="0" borderId="0" xfId="0" applyFont="1" applyFill="1" applyBorder="1" applyAlignment="1">
      <alignment/>
    </xf>
    <xf numFmtId="0" fontId="0" fillId="0" borderId="0" xfId="0" applyFill="1" applyBorder="1" applyAlignment="1">
      <alignment/>
    </xf>
    <xf numFmtId="0" fontId="0" fillId="0" borderId="19" xfId="0" applyFont="1" applyBorder="1" applyAlignment="1">
      <alignment/>
    </xf>
    <xf numFmtId="0" fontId="0" fillId="40" borderId="0" xfId="0" applyFont="1" applyFill="1" applyBorder="1" applyAlignment="1">
      <alignment/>
    </xf>
    <xf numFmtId="0" fontId="0" fillId="0" borderId="0" xfId="0" applyFont="1" applyBorder="1" applyAlignment="1">
      <alignment/>
    </xf>
    <xf numFmtId="0" fontId="11" fillId="0" borderId="16" xfId="0" applyFont="1" applyFill="1" applyBorder="1" applyAlignment="1">
      <alignment/>
    </xf>
    <xf numFmtId="0" fontId="12" fillId="0" borderId="17" xfId="0" applyFont="1" applyFill="1" applyBorder="1" applyAlignment="1">
      <alignment/>
    </xf>
    <xf numFmtId="0" fontId="1" fillId="40" borderId="16" xfId="0" applyFont="1" applyFill="1" applyBorder="1" applyAlignment="1">
      <alignment/>
    </xf>
    <xf numFmtId="0" fontId="0" fillId="40" borderId="17" xfId="0" applyFont="1" applyFill="1" applyBorder="1" applyAlignment="1">
      <alignment/>
    </xf>
    <xf numFmtId="0" fontId="0" fillId="0" borderId="16" xfId="0" applyFont="1" applyBorder="1" applyAlignment="1">
      <alignment/>
    </xf>
    <xf numFmtId="0" fontId="0" fillId="0" borderId="16" xfId="0" applyFont="1" applyBorder="1" applyAlignment="1">
      <alignment/>
    </xf>
    <xf numFmtId="0" fontId="0" fillId="0" borderId="19" xfId="0" applyFont="1" applyFill="1" applyBorder="1" applyAlignment="1">
      <alignment/>
    </xf>
    <xf numFmtId="0" fontId="0" fillId="0" borderId="20" xfId="0" applyFont="1" applyBorder="1" applyAlignment="1">
      <alignment/>
    </xf>
    <xf numFmtId="0" fontId="0" fillId="0" borderId="18" xfId="0" applyBorder="1" applyAlignment="1">
      <alignment/>
    </xf>
    <xf numFmtId="0" fontId="0" fillId="0" borderId="0" xfId="0" applyFont="1" applyBorder="1" applyAlignment="1">
      <alignment/>
    </xf>
    <xf numFmtId="0" fontId="1" fillId="0" borderId="0" xfId="0" applyFont="1" applyBorder="1" applyAlignment="1">
      <alignment/>
    </xf>
    <xf numFmtId="0" fontId="11" fillId="40" borderId="25" xfId="0" applyFont="1" applyFill="1" applyBorder="1" applyAlignment="1">
      <alignment/>
    </xf>
    <xf numFmtId="0" fontId="12" fillId="40" borderId="26" xfId="0" applyFont="1" applyFill="1" applyBorder="1" applyAlignment="1">
      <alignment/>
    </xf>
    <xf numFmtId="0" fontId="0" fillId="40" borderId="26" xfId="0" applyFill="1" applyBorder="1" applyAlignment="1">
      <alignment/>
    </xf>
    <xf numFmtId="0" fontId="12" fillId="40" borderId="27" xfId="0" applyFont="1" applyFill="1" applyBorder="1" applyAlignment="1">
      <alignment/>
    </xf>
    <xf numFmtId="0" fontId="11" fillId="41" borderId="28" xfId="0" applyFont="1" applyFill="1" applyBorder="1" applyAlignment="1">
      <alignment/>
    </xf>
    <xf numFmtId="0" fontId="0" fillId="41" borderId="0" xfId="0" applyFill="1" applyBorder="1" applyAlignment="1">
      <alignment/>
    </xf>
    <xf numFmtId="0" fontId="12" fillId="41" borderId="28" xfId="0" applyFont="1" applyFill="1" applyBorder="1" applyAlignment="1">
      <alignment/>
    </xf>
    <xf numFmtId="0" fontId="0" fillId="41" borderId="29" xfId="0" applyFill="1" applyBorder="1" applyAlignment="1">
      <alignment/>
    </xf>
    <xf numFmtId="0" fontId="0" fillId="41" borderId="28" xfId="0" applyFill="1" applyBorder="1" applyAlignment="1">
      <alignment/>
    </xf>
    <xf numFmtId="0" fontId="0" fillId="41" borderId="28" xfId="0" applyFont="1" applyFill="1" applyBorder="1" applyAlignment="1">
      <alignment/>
    </xf>
    <xf numFmtId="0" fontId="12" fillId="41" borderId="29" xfId="0" applyFont="1" applyFill="1" applyBorder="1" applyAlignment="1">
      <alignment/>
    </xf>
    <xf numFmtId="0" fontId="11" fillId="41" borderId="24" xfId="0" applyFont="1" applyFill="1" applyBorder="1" applyAlignment="1">
      <alignment/>
    </xf>
    <xf numFmtId="0" fontId="0" fillId="33" borderId="10" xfId="0" applyFont="1" applyFill="1" applyBorder="1" applyAlignment="1">
      <alignment/>
    </xf>
    <xf numFmtId="0" fontId="5" fillId="0" borderId="10" xfId="0" applyFont="1" applyFill="1" applyBorder="1" applyAlignment="1">
      <alignment horizontal="center" vertical="center"/>
    </xf>
    <xf numFmtId="0" fontId="0" fillId="40" borderId="28" xfId="0" applyFont="1" applyFill="1" applyBorder="1" applyAlignment="1">
      <alignment/>
    </xf>
    <xf numFmtId="0" fontId="0" fillId="40" borderId="29"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xf>
    <xf numFmtId="0" fontId="11" fillId="0" borderId="18" xfId="0" applyFont="1" applyFill="1" applyBorder="1" applyAlignment="1">
      <alignment/>
    </xf>
    <xf numFmtId="0" fontId="12" fillId="0" borderId="19" xfId="0" applyFont="1" applyFill="1" applyBorder="1" applyAlignment="1">
      <alignment/>
    </xf>
    <xf numFmtId="0" fontId="0" fillId="0" borderId="19" xfId="0" applyFill="1" applyBorder="1" applyAlignment="1">
      <alignment/>
    </xf>
    <xf numFmtId="0" fontId="12" fillId="0" borderId="20" xfId="0" applyFont="1" applyFill="1" applyBorder="1" applyAlignment="1">
      <alignment/>
    </xf>
    <xf numFmtId="1" fontId="26" fillId="39" borderId="10" xfId="0" applyNumberFormat="1" applyFont="1" applyFill="1" applyBorder="1" applyAlignment="1">
      <alignment horizontal="center" vertical="center"/>
    </xf>
    <xf numFmtId="1" fontId="26" fillId="38" borderId="1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1" fontId="26" fillId="38" borderId="30" xfId="0" applyNumberFormat="1" applyFont="1" applyFill="1" applyBorder="1" applyAlignment="1">
      <alignment horizontal="center" vertical="center"/>
    </xf>
    <xf numFmtId="1" fontId="26" fillId="39" borderId="30" xfId="0" applyNumberFormat="1" applyFont="1" applyFill="1" applyBorder="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23" fillId="0" borderId="16" xfId="0" applyFont="1" applyBorder="1" applyAlignment="1">
      <alignment/>
    </xf>
    <xf numFmtId="0" fontId="23" fillId="0" borderId="16" xfId="0" applyFont="1" applyBorder="1" applyAlignment="1">
      <alignment/>
    </xf>
    <xf numFmtId="2" fontId="5" fillId="0" borderId="10" xfId="0" applyNumberFormat="1" applyFont="1" applyBorder="1" applyAlignment="1">
      <alignment horizontal="center" vertical="center"/>
    </xf>
    <xf numFmtId="0" fontId="87" fillId="0" borderId="10" xfId="0" applyFont="1" applyBorder="1" applyAlignment="1" quotePrefix="1">
      <alignment horizontal="center"/>
    </xf>
    <xf numFmtId="2" fontId="87" fillId="0" borderId="10" xfId="0" applyNumberFormat="1" applyFont="1" applyBorder="1" applyAlignment="1">
      <alignment horizontal="center" vertical="center"/>
    </xf>
    <xf numFmtId="0" fontId="88" fillId="0" borderId="10" xfId="0" applyFont="1" applyBorder="1" applyAlignment="1">
      <alignment horizontal="center"/>
    </xf>
    <xf numFmtId="0" fontId="89" fillId="0" borderId="11" xfId="0" applyFont="1" applyFill="1" applyBorder="1" applyAlignment="1">
      <alignment wrapText="1"/>
    </xf>
    <xf numFmtId="2" fontId="88" fillId="0" borderId="10" xfId="0" applyNumberFormat="1" applyFont="1" applyBorder="1" applyAlignment="1">
      <alignment horizontal="center" vertical="center"/>
    </xf>
    <xf numFmtId="0" fontId="89" fillId="0" borderId="10" xfId="0" applyFont="1" applyBorder="1" applyAlignment="1">
      <alignment horizontal="center"/>
    </xf>
    <xf numFmtId="0" fontId="23" fillId="0" borderId="16" xfId="0" applyFont="1" applyBorder="1" applyAlignment="1">
      <alignment/>
    </xf>
    <xf numFmtId="172" fontId="3" fillId="39" borderId="12" xfId="0" applyNumberFormat="1" applyFont="1" applyFill="1" applyBorder="1" applyAlignment="1">
      <alignment horizontal="right" vertical="center"/>
    </xf>
    <xf numFmtId="1" fontId="3" fillId="39" borderId="31" xfId="0" applyNumberFormat="1" applyFont="1" applyFill="1" applyBorder="1" applyAlignment="1">
      <alignment horizontal="left" vertical="center"/>
    </xf>
    <xf numFmtId="0" fontId="90" fillId="42" borderId="15" xfId="0" applyFont="1" applyFill="1" applyBorder="1" applyAlignment="1">
      <alignment vertical="top"/>
    </xf>
    <xf numFmtId="0" fontId="14" fillId="42" borderId="0" xfId="0" applyFont="1" applyFill="1" applyBorder="1" applyAlignment="1">
      <alignment vertical="center"/>
    </xf>
    <xf numFmtId="0" fontId="40" fillId="0" borderId="16" xfId="0" applyFont="1" applyBorder="1" applyAlignment="1">
      <alignment/>
    </xf>
    <xf numFmtId="0" fontId="0" fillId="42" borderId="15" xfId="0" applyFont="1" applyFill="1" applyBorder="1" applyAlignment="1">
      <alignment/>
    </xf>
    <xf numFmtId="0" fontId="0" fillId="42" borderId="14" xfId="0" applyFont="1" applyFill="1" applyBorder="1" applyAlignment="1">
      <alignment/>
    </xf>
    <xf numFmtId="0" fontId="91" fillId="42" borderId="15" xfId="0" applyFont="1" applyFill="1" applyBorder="1" applyAlignment="1">
      <alignment/>
    </xf>
    <xf numFmtId="0" fontId="0" fillId="36" borderId="24" xfId="0" applyFill="1" applyBorder="1" applyAlignment="1">
      <alignment/>
    </xf>
    <xf numFmtId="0" fontId="15" fillId="36" borderId="28" xfId="0" applyFont="1" applyFill="1" applyBorder="1" applyAlignment="1">
      <alignment/>
    </xf>
    <xf numFmtId="0" fontId="14" fillId="36" borderId="28" xfId="0" applyFont="1" applyFill="1" applyBorder="1" applyAlignment="1">
      <alignment/>
    </xf>
    <xf numFmtId="0" fontId="0" fillId="36" borderId="28" xfId="0" applyFont="1" applyFill="1" applyBorder="1" applyAlignment="1">
      <alignment/>
    </xf>
    <xf numFmtId="0" fontId="0" fillId="36" borderId="29" xfId="0" applyFont="1" applyFill="1" applyBorder="1" applyAlignment="1">
      <alignment/>
    </xf>
    <xf numFmtId="0" fontId="0" fillId="33" borderId="32" xfId="0" applyFont="1" applyFill="1" applyBorder="1" applyAlignment="1">
      <alignment horizontal="center"/>
    </xf>
    <xf numFmtId="0" fontId="0" fillId="33" borderId="33" xfId="0" applyFont="1" applyFill="1" applyBorder="1" applyAlignment="1">
      <alignment horizontal="center"/>
    </xf>
    <xf numFmtId="0" fontId="91" fillId="42" borderId="33" xfId="0" applyFont="1" applyFill="1" applyBorder="1" applyAlignment="1">
      <alignment/>
    </xf>
    <xf numFmtId="0" fontId="0" fillId="42" borderId="33" xfId="0" applyFont="1" applyFill="1" applyBorder="1" applyAlignment="1">
      <alignment/>
    </xf>
    <xf numFmtId="0" fontId="0" fillId="42" borderId="34" xfId="0" applyFont="1" applyFill="1" applyBorder="1" applyAlignment="1">
      <alignment/>
    </xf>
    <xf numFmtId="0" fontId="92" fillId="42" borderId="15" xfId="0" applyFont="1" applyFill="1" applyBorder="1" applyAlignment="1">
      <alignment vertical="center"/>
    </xf>
    <xf numFmtId="0" fontId="0" fillId="42" borderId="13" xfId="0" applyFont="1" applyFill="1" applyBorder="1" applyAlignment="1">
      <alignment/>
    </xf>
    <xf numFmtId="0" fontId="0" fillId="36" borderId="24" xfId="0" applyFont="1" applyFill="1" applyBorder="1" applyAlignment="1">
      <alignment/>
    </xf>
    <xf numFmtId="0" fontId="1" fillId="36" borderId="28" xfId="0" applyFont="1" applyFill="1" applyBorder="1" applyAlignment="1">
      <alignment/>
    </xf>
    <xf numFmtId="0" fontId="0" fillId="36" borderId="24" xfId="0" applyFont="1" applyFill="1" applyBorder="1" applyAlignment="1">
      <alignment/>
    </xf>
    <xf numFmtId="0" fontId="0" fillId="36" borderId="28" xfId="0" applyFont="1" applyFill="1" applyBorder="1" applyAlignment="1">
      <alignment/>
    </xf>
    <xf numFmtId="0" fontId="0" fillId="42" borderId="32" xfId="0" applyFont="1" applyFill="1" applyBorder="1" applyAlignment="1">
      <alignment/>
    </xf>
    <xf numFmtId="0" fontId="92" fillId="42" borderId="33" xfId="0" applyFont="1" applyFill="1" applyBorder="1" applyAlignment="1">
      <alignment vertical="center"/>
    </xf>
    <xf numFmtId="0" fontId="91" fillId="42" borderId="15" xfId="0" applyFont="1" applyFill="1" applyBorder="1" applyAlignment="1">
      <alignment vertical="top"/>
    </xf>
    <xf numFmtId="0" fontId="23" fillId="36" borderId="28" xfId="0" applyFont="1" applyFill="1" applyBorder="1" applyAlignment="1">
      <alignment/>
    </xf>
    <xf numFmtId="0" fontId="0" fillId="36" borderId="29" xfId="0" applyFont="1" applyFill="1" applyBorder="1" applyAlignment="1">
      <alignment/>
    </xf>
    <xf numFmtId="0" fontId="0" fillId="0" borderId="0" xfId="57" applyFont="1">
      <alignment/>
      <protection/>
    </xf>
    <xf numFmtId="0" fontId="0" fillId="0" borderId="0" xfId="57" applyFont="1" applyBorder="1">
      <alignment/>
      <protection/>
    </xf>
    <xf numFmtId="0" fontId="12" fillId="0" borderId="0" xfId="57" applyFont="1" applyBorder="1" applyAlignment="1">
      <alignment/>
      <protection/>
    </xf>
    <xf numFmtId="0" fontId="11" fillId="40" borderId="25" xfId="57" applyFont="1" applyFill="1" applyBorder="1" applyAlignment="1">
      <alignment/>
      <protection/>
    </xf>
    <xf numFmtId="0" fontId="12" fillId="40" borderId="26" xfId="57" applyFont="1" applyFill="1" applyBorder="1" applyAlignment="1">
      <alignment/>
      <protection/>
    </xf>
    <xf numFmtId="0" fontId="0" fillId="40" borderId="26" xfId="57" applyFill="1" applyBorder="1" applyAlignment="1">
      <alignment/>
      <protection/>
    </xf>
    <xf numFmtId="0" fontId="12" fillId="40" borderId="27" xfId="57" applyFont="1" applyFill="1" applyBorder="1" applyAlignment="1">
      <alignment/>
      <protection/>
    </xf>
    <xf numFmtId="0" fontId="12" fillId="0" borderId="0" xfId="57" applyFont="1" applyFill="1" applyBorder="1" applyAlignment="1">
      <alignment/>
      <protection/>
    </xf>
    <xf numFmtId="0" fontId="11" fillId="0" borderId="16" xfId="57" applyFont="1" applyFill="1" applyBorder="1" applyAlignment="1">
      <alignment/>
      <protection/>
    </xf>
    <xf numFmtId="0" fontId="0" fillId="0" borderId="0" xfId="57" applyFill="1" applyBorder="1" applyAlignment="1">
      <alignment/>
      <protection/>
    </xf>
    <xf numFmtId="0" fontId="12" fillId="0" borderId="17" xfId="57" applyFont="1" applyFill="1" applyBorder="1" applyAlignment="1">
      <alignment/>
      <protection/>
    </xf>
    <xf numFmtId="0" fontId="1" fillId="0" borderId="0" xfId="57" applyFont="1" applyBorder="1" applyAlignment="1">
      <alignment horizontal="left"/>
      <protection/>
    </xf>
    <xf numFmtId="0" fontId="0" fillId="0" borderId="0" xfId="57" applyFont="1" applyFill="1" applyBorder="1" applyAlignment="1">
      <alignment/>
      <protection/>
    </xf>
    <xf numFmtId="0" fontId="0" fillId="0" borderId="0" xfId="57" applyFont="1" applyFill="1" applyBorder="1" applyAlignment="1">
      <alignment horizontal="right"/>
      <protection/>
    </xf>
    <xf numFmtId="0" fontId="12" fillId="0" borderId="0" xfId="57" applyFont="1" applyFill="1" applyBorder="1" applyAlignment="1">
      <alignment horizontal="center"/>
      <protection/>
    </xf>
    <xf numFmtId="0" fontId="0" fillId="0" borderId="0" xfId="57" applyFont="1" applyFill="1" applyBorder="1" applyAlignment="1">
      <alignment horizontal="center"/>
      <protection/>
    </xf>
    <xf numFmtId="0" fontId="0" fillId="0" borderId="16" xfId="57" applyFont="1" applyBorder="1" applyAlignment="1">
      <alignment horizontal="left"/>
      <protection/>
    </xf>
    <xf numFmtId="0" fontId="11" fillId="0" borderId="18" xfId="57" applyFont="1" applyFill="1" applyBorder="1" applyAlignment="1">
      <alignment/>
      <protection/>
    </xf>
    <xf numFmtId="0" fontId="12" fillId="0" borderId="19" xfId="57" applyFont="1" applyFill="1" applyBorder="1" applyAlignment="1">
      <alignment/>
      <protection/>
    </xf>
    <xf numFmtId="0" fontId="0" fillId="0" borderId="19" xfId="57" applyFill="1" applyBorder="1" applyAlignment="1">
      <alignment/>
      <protection/>
    </xf>
    <xf numFmtId="0" fontId="12" fillId="0" borderId="20" xfId="57" applyFont="1" applyFill="1" applyBorder="1" applyAlignment="1">
      <alignment/>
      <protection/>
    </xf>
    <xf numFmtId="0" fontId="1" fillId="40" borderId="24" xfId="57" applyFont="1" applyFill="1" applyBorder="1">
      <alignment/>
      <protection/>
    </xf>
    <xf numFmtId="0" fontId="0" fillId="40" borderId="28" xfId="57" applyFont="1" applyFill="1" applyBorder="1">
      <alignment/>
      <protection/>
    </xf>
    <xf numFmtId="0" fontId="0" fillId="40" borderId="29" xfId="57" applyFont="1" applyFill="1" applyBorder="1">
      <alignment/>
      <protection/>
    </xf>
    <xf numFmtId="0" fontId="0" fillId="0" borderId="16" xfId="57" applyFont="1" applyBorder="1">
      <alignment/>
      <protection/>
    </xf>
    <xf numFmtId="0" fontId="0" fillId="0" borderId="17" xfId="57" applyFont="1" applyBorder="1">
      <alignment/>
      <protection/>
    </xf>
    <xf numFmtId="0" fontId="0" fillId="0" borderId="0" xfId="57">
      <alignment/>
      <protection/>
    </xf>
    <xf numFmtId="0" fontId="1" fillId="0" borderId="0" xfId="57" applyFont="1" applyBorder="1">
      <alignment/>
      <protection/>
    </xf>
    <xf numFmtId="0" fontId="0" fillId="0" borderId="0" xfId="57" applyBorder="1">
      <alignment/>
      <protection/>
    </xf>
    <xf numFmtId="0" fontId="0" fillId="0" borderId="0" xfId="57" applyFill="1">
      <alignment/>
      <protection/>
    </xf>
    <xf numFmtId="0" fontId="0" fillId="0" borderId="16" xfId="57" applyBorder="1">
      <alignment/>
      <protection/>
    </xf>
    <xf numFmtId="0" fontId="1" fillId="0" borderId="0" xfId="57" applyFont="1" applyBorder="1" applyAlignment="1">
      <alignment/>
      <protection/>
    </xf>
    <xf numFmtId="0" fontId="0" fillId="0" borderId="13" xfId="57" applyFont="1" applyFill="1" applyBorder="1" applyAlignment="1">
      <alignment horizontal="center" vertical="center" wrapText="1"/>
      <protection/>
    </xf>
    <xf numFmtId="0" fontId="2" fillId="0" borderId="15" xfId="57"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25" fillId="0" borderId="15"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0" fontId="2" fillId="0" borderId="0" xfId="57" applyFont="1" applyFill="1" applyBorder="1" applyAlignment="1">
      <alignment horizontal="center" vertical="center" wrapText="1"/>
      <protection/>
    </xf>
    <xf numFmtId="0" fontId="5" fillId="0" borderId="0" xfId="57" applyFont="1" applyFill="1" applyBorder="1" applyAlignment="1">
      <alignment horizontal="center" vertical="center" wrapText="1"/>
      <protection/>
    </xf>
    <xf numFmtId="0" fontId="25" fillId="0" borderId="0" xfId="57" applyFont="1" applyFill="1" applyBorder="1" applyAlignment="1">
      <alignment horizontal="center" vertical="center" wrapText="1"/>
      <protection/>
    </xf>
    <xf numFmtId="0" fontId="0" fillId="0" borderId="16" xfId="57" applyFont="1" applyFill="1" applyBorder="1">
      <alignment/>
      <protection/>
    </xf>
    <xf numFmtId="0" fontId="0" fillId="0" borderId="0" xfId="57" applyFont="1" applyFill="1" applyBorder="1">
      <alignment/>
      <protection/>
    </xf>
    <xf numFmtId="0" fontId="0" fillId="0" borderId="18" xfId="57" applyBorder="1">
      <alignment/>
      <protection/>
    </xf>
    <xf numFmtId="0" fontId="0" fillId="0" borderId="19" xfId="57" applyFont="1" applyBorder="1">
      <alignment/>
      <protection/>
    </xf>
    <xf numFmtId="0" fontId="0" fillId="0" borderId="20" xfId="57" applyFont="1" applyBorder="1">
      <alignment/>
      <protection/>
    </xf>
    <xf numFmtId="0" fontId="11" fillId="41" borderId="24" xfId="57" applyFont="1" applyFill="1" applyBorder="1">
      <alignment/>
      <protection/>
    </xf>
    <xf numFmtId="0" fontId="0" fillId="41" borderId="28" xfId="57" applyFill="1" applyBorder="1">
      <alignment/>
      <protection/>
    </xf>
    <xf numFmtId="0" fontId="11" fillId="41" borderId="28" xfId="57" applyFont="1" applyFill="1" applyBorder="1">
      <alignment/>
      <protection/>
    </xf>
    <xf numFmtId="0" fontId="12" fillId="41" borderId="28" xfId="57" applyFont="1" applyFill="1" applyBorder="1">
      <alignment/>
      <protection/>
    </xf>
    <xf numFmtId="0" fontId="12" fillId="41" borderId="29" xfId="57" applyFont="1" applyFill="1" applyBorder="1">
      <alignment/>
      <protection/>
    </xf>
    <xf numFmtId="0" fontId="0" fillId="0" borderId="17" xfId="57" applyBorder="1">
      <alignment/>
      <protection/>
    </xf>
    <xf numFmtId="0" fontId="12" fillId="0" borderId="0" xfId="57" applyFont="1" applyBorder="1">
      <alignment/>
      <protection/>
    </xf>
    <xf numFmtId="0" fontId="92" fillId="43" borderId="16" xfId="57" applyFont="1" applyFill="1" applyBorder="1">
      <alignment/>
      <protection/>
    </xf>
    <xf numFmtId="0" fontId="0" fillId="43" borderId="0" xfId="57" applyFont="1" applyFill="1" applyBorder="1">
      <alignment/>
      <protection/>
    </xf>
    <xf numFmtId="0" fontId="0" fillId="43" borderId="17" xfId="57" applyFill="1" applyBorder="1">
      <alignment/>
      <protection/>
    </xf>
    <xf numFmtId="0" fontId="92" fillId="44" borderId="22" xfId="57" applyFont="1" applyFill="1" applyBorder="1">
      <alignment/>
      <protection/>
    </xf>
    <xf numFmtId="0" fontId="0" fillId="44" borderId="35" xfId="57" applyFont="1" applyFill="1" applyBorder="1">
      <alignment/>
      <protection/>
    </xf>
    <xf numFmtId="0" fontId="0" fillId="44" borderId="23" xfId="57" applyFont="1" applyFill="1" applyBorder="1">
      <alignment/>
      <protection/>
    </xf>
    <xf numFmtId="0" fontId="0" fillId="43" borderId="16" xfId="57" applyFont="1" applyFill="1" applyBorder="1">
      <alignment/>
      <protection/>
    </xf>
    <xf numFmtId="0" fontId="0" fillId="44" borderId="12" xfId="57" applyFont="1" applyFill="1" applyBorder="1">
      <alignment/>
      <protection/>
    </xf>
    <xf numFmtId="0" fontId="0" fillId="44" borderId="0" xfId="57" applyFont="1" applyFill="1" applyBorder="1">
      <alignment/>
      <protection/>
    </xf>
    <xf numFmtId="0" fontId="0" fillId="44" borderId="0" xfId="57" applyFont="1" applyFill="1" applyBorder="1" applyAlignment="1">
      <alignment horizontal="right"/>
      <protection/>
    </xf>
    <xf numFmtId="2" fontId="93" fillId="0" borderId="10" xfId="57" applyNumberFormat="1" applyFont="1" applyFill="1" applyBorder="1" applyAlignment="1">
      <alignment horizontal="center"/>
      <protection/>
    </xf>
    <xf numFmtId="0" fontId="0" fillId="44" borderId="0" xfId="57" applyFont="1" applyFill="1" applyBorder="1" applyAlignment="1">
      <alignment horizontal="left"/>
      <protection/>
    </xf>
    <xf numFmtId="0" fontId="0" fillId="44" borderId="31" xfId="57" applyFont="1" applyFill="1" applyBorder="1">
      <alignment/>
      <protection/>
    </xf>
    <xf numFmtId="0" fontId="0" fillId="44" borderId="12" xfId="57" applyFont="1" applyFill="1" applyBorder="1" applyAlignment="1">
      <alignment horizontal="left"/>
      <protection/>
    </xf>
    <xf numFmtId="0" fontId="93" fillId="44" borderId="0" xfId="57" applyFont="1" applyFill="1" applyBorder="1" applyAlignment="1">
      <alignment horizontal="center"/>
      <protection/>
    </xf>
    <xf numFmtId="176" fontId="0" fillId="0" borderId="10" xfId="57" applyNumberFormat="1" applyFont="1" applyFill="1" applyBorder="1" applyAlignment="1">
      <alignment horizontal="center"/>
      <protection/>
    </xf>
    <xf numFmtId="176" fontId="0" fillId="44" borderId="0" xfId="57" applyNumberFormat="1" applyFont="1" applyFill="1" applyBorder="1" applyAlignment="1">
      <alignment horizontal="center"/>
      <protection/>
    </xf>
    <xf numFmtId="0" fontId="0" fillId="44" borderId="36" xfId="57" applyFont="1" applyFill="1" applyBorder="1">
      <alignment/>
      <protection/>
    </xf>
    <xf numFmtId="0" fontId="0" fillId="44" borderId="37" xfId="57" applyFont="1" applyFill="1" applyBorder="1">
      <alignment/>
      <protection/>
    </xf>
    <xf numFmtId="0" fontId="0" fillId="44" borderId="37" xfId="57" applyFont="1" applyFill="1" applyBorder="1" applyAlignment="1">
      <alignment horizontal="right"/>
      <protection/>
    </xf>
    <xf numFmtId="176" fontId="0" fillId="44" borderId="37" xfId="57" applyNumberFormat="1" applyFont="1" applyFill="1" applyBorder="1" applyAlignment="1">
      <alignment horizontal="center"/>
      <protection/>
    </xf>
    <xf numFmtId="0" fontId="0" fillId="44" borderId="38" xfId="57" applyFont="1" applyFill="1" applyBorder="1">
      <alignment/>
      <protection/>
    </xf>
    <xf numFmtId="0" fontId="15" fillId="43" borderId="0" xfId="57" applyFont="1" applyFill="1" applyBorder="1">
      <alignment/>
      <protection/>
    </xf>
    <xf numFmtId="0" fontId="14" fillId="43" borderId="0" xfId="57" applyFont="1" applyFill="1" applyBorder="1">
      <alignment/>
      <protection/>
    </xf>
    <xf numFmtId="2" fontId="0" fillId="43" borderId="0" xfId="57" applyNumberFormat="1" applyFont="1" applyFill="1" applyBorder="1" applyAlignment="1">
      <alignment horizontal="center"/>
      <protection/>
    </xf>
    <xf numFmtId="0" fontId="14" fillId="43" borderId="17" xfId="57" applyFont="1" applyFill="1" applyBorder="1">
      <alignment/>
      <protection/>
    </xf>
    <xf numFmtId="0" fontId="0" fillId="43" borderId="17" xfId="57" applyFont="1" applyFill="1" applyBorder="1">
      <alignment/>
      <protection/>
    </xf>
    <xf numFmtId="0" fontId="0" fillId="36" borderId="16" xfId="57" applyFill="1" applyBorder="1">
      <alignment/>
      <protection/>
    </xf>
    <xf numFmtId="0" fontId="2" fillId="33" borderId="13" xfId="57" applyFont="1" applyFill="1" applyBorder="1" applyAlignment="1">
      <alignment horizontal="center" wrapText="1"/>
      <protection/>
    </xf>
    <xf numFmtId="0" fontId="2" fillId="33" borderId="14" xfId="57" applyFont="1" applyFill="1" applyBorder="1" applyAlignment="1">
      <alignment horizontal="center" wrapText="1"/>
      <protection/>
    </xf>
    <xf numFmtId="0" fontId="0" fillId="36" borderId="16" xfId="57" applyFill="1" applyBorder="1" applyAlignment="1">
      <alignment horizontal="center"/>
      <protection/>
    </xf>
    <xf numFmtId="0" fontId="0" fillId="33" borderId="10" xfId="57" applyFont="1" applyFill="1" applyBorder="1" applyAlignment="1">
      <alignment horizontal="center"/>
      <protection/>
    </xf>
    <xf numFmtId="0" fontId="27" fillId="33" borderId="11" xfId="57" applyFont="1" applyFill="1" applyBorder="1" applyAlignment="1">
      <alignment horizontal="center" wrapText="1"/>
      <protection/>
    </xf>
    <xf numFmtId="0" fontId="30" fillId="33" borderId="22" xfId="57" applyFont="1" applyFill="1" applyBorder="1" applyAlignment="1">
      <alignment horizontal="center" wrapText="1"/>
      <protection/>
    </xf>
    <xf numFmtId="0" fontId="0" fillId="33" borderId="11" xfId="57" applyFont="1" applyFill="1" applyBorder="1" applyAlignment="1">
      <alignment horizontal="center"/>
      <protection/>
    </xf>
    <xf numFmtId="0" fontId="0" fillId="33" borderId="15" xfId="57" applyFont="1" applyFill="1" applyBorder="1" applyAlignment="1">
      <alignment horizontal="centerContinuous"/>
      <protection/>
    </xf>
    <xf numFmtId="0" fontId="0" fillId="33" borderId="14" xfId="57" applyFont="1" applyFill="1" applyBorder="1" applyAlignment="1">
      <alignment horizontal="centerContinuous"/>
      <protection/>
    </xf>
    <xf numFmtId="0" fontId="2" fillId="33" borderId="36" xfId="57" applyFont="1" applyFill="1" applyBorder="1" applyAlignment="1">
      <alignment horizontal="center" wrapText="1"/>
      <protection/>
    </xf>
    <xf numFmtId="0" fontId="2" fillId="33" borderId="15" xfId="57" applyFont="1" applyFill="1" applyBorder="1" applyAlignment="1">
      <alignment horizontal="center" wrapText="1"/>
      <protection/>
    </xf>
    <xf numFmtId="0" fontId="2" fillId="33" borderId="10" xfId="57" applyFont="1" applyFill="1" applyBorder="1" applyAlignment="1">
      <alignment horizontal="center" wrapText="1"/>
      <protection/>
    </xf>
    <xf numFmtId="0" fontId="0" fillId="33" borderId="14" xfId="57" applyFont="1" applyFill="1" applyBorder="1" applyAlignment="1">
      <alignment horizontal="center" wrapText="1"/>
      <protection/>
    </xf>
    <xf numFmtId="0" fontId="10" fillId="33" borderId="21" xfId="57" applyFont="1" applyFill="1" applyBorder="1" applyAlignment="1">
      <alignment horizontal="center"/>
      <protection/>
    </xf>
    <xf numFmtId="0" fontId="29" fillId="33" borderId="36" xfId="57" applyFont="1" applyFill="1" applyBorder="1" applyAlignment="1">
      <alignment horizontal="center"/>
      <protection/>
    </xf>
    <xf numFmtId="0" fontId="0" fillId="33" borderId="21" xfId="57" applyFont="1" applyFill="1" applyBorder="1" applyAlignment="1">
      <alignment horizontal="center"/>
      <protection/>
    </xf>
    <xf numFmtId="0" fontId="2" fillId="33" borderId="21" xfId="57" applyFont="1" applyFill="1" applyBorder="1" applyAlignment="1">
      <alignment horizontal="center"/>
      <protection/>
    </xf>
    <xf numFmtId="0" fontId="2" fillId="33" borderId="21" xfId="57" applyFont="1" applyFill="1" applyBorder="1" applyAlignment="1">
      <alignment horizontal="center" wrapText="1"/>
      <protection/>
    </xf>
    <xf numFmtId="0" fontId="4" fillId="0" borderId="10" xfId="57" applyFont="1" applyBorder="1" applyAlignment="1">
      <alignment horizontal="center"/>
      <protection/>
    </xf>
    <xf numFmtId="0" fontId="4" fillId="0" borderId="14" xfId="57" applyFont="1" applyBorder="1" applyAlignment="1">
      <alignment horizontal="center"/>
      <protection/>
    </xf>
    <xf numFmtId="0" fontId="4" fillId="0" borderId="10" xfId="57" applyFont="1" applyBorder="1" applyAlignment="1">
      <alignment horizontal="centerContinuous"/>
      <protection/>
    </xf>
    <xf numFmtId="1" fontId="4" fillId="0" borderId="10" xfId="57" applyNumberFormat="1" applyFont="1" applyBorder="1" applyAlignment="1">
      <alignment horizontal="center"/>
      <protection/>
    </xf>
    <xf numFmtId="0" fontId="0" fillId="0" borderId="0" xfId="57" applyAlignment="1">
      <alignment vertical="center"/>
      <protection/>
    </xf>
    <xf numFmtId="0" fontId="5" fillId="37" borderId="10" xfId="57" applyFont="1" applyFill="1" applyBorder="1" applyAlignment="1">
      <alignment horizontal="center" vertical="center"/>
      <protection/>
    </xf>
    <xf numFmtId="2" fontId="5" fillId="37" borderId="10" xfId="57" applyNumberFormat="1" applyFont="1" applyFill="1" applyBorder="1" applyAlignment="1">
      <alignment horizontal="center" vertical="center"/>
      <protection/>
    </xf>
    <xf numFmtId="0" fontId="5" fillId="37" borderId="10" xfId="57" applyNumberFormat="1" applyFont="1" applyFill="1" applyBorder="1" applyAlignment="1">
      <alignment horizontal="center" vertical="center"/>
      <protection/>
    </xf>
    <xf numFmtId="2" fontId="93" fillId="37" borderId="10" xfId="57" applyNumberFormat="1" applyFont="1" applyFill="1" applyBorder="1" applyAlignment="1">
      <alignment horizontal="center" vertical="center"/>
      <protection/>
    </xf>
    <xf numFmtId="172" fontId="3" fillId="38" borderId="22" xfId="57" applyNumberFormat="1" applyFont="1" applyFill="1" applyBorder="1" applyAlignment="1">
      <alignment horizontal="right" vertical="center"/>
      <protection/>
    </xf>
    <xf numFmtId="1" fontId="3" fillId="38" borderId="23" xfId="57" applyNumberFormat="1" applyFont="1" applyFill="1" applyBorder="1" applyAlignment="1">
      <alignment horizontal="left" vertical="center"/>
      <protection/>
    </xf>
    <xf numFmtId="1" fontId="26" fillId="38" borderId="30" xfId="57" applyNumberFormat="1" applyFont="1" applyFill="1" applyBorder="1" applyAlignment="1">
      <alignment horizontal="center" vertical="center"/>
      <protection/>
    </xf>
    <xf numFmtId="2" fontId="88" fillId="0" borderId="10" xfId="57" applyNumberFormat="1" applyFont="1" applyBorder="1" applyAlignment="1">
      <alignment horizontal="center" vertical="center"/>
      <protection/>
    </xf>
    <xf numFmtId="2" fontId="8" fillId="0" borderId="10" xfId="57" applyNumberFormat="1" applyFont="1" applyBorder="1" applyAlignment="1">
      <alignment horizontal="center" vertical="center"/>
      <protection/>
    </xf>
    <xf numFmtId="2" fontId="8" fillId="0" borderId="14" xfId="57" applyNumberFormat="1" applyFont="1" applyBorder="1" applyAlignment="1">
      <alignment horizontal="center" vertical="center"/>
      <protection/>
    </xf>
    <xf numFmtId="0" fontId="6" fillId="37" borderId="10" xfId="57" applyNumberFormat="1" applyFont="1" applyFill="1" applyBorder="1" applyAlignment="1">
      <alignment horizontal="center" vertical="center"/>
      <protection/>
    </xf>
    <xf numFmtId="0" fontId="0" fillId="43" borderId="17" xfId="57" applyFont="1" applyFill="1" applyBorder="1" applyAlignment="1">
      <alignment vertical="center"/>
      <protection/>
    </xf>
    <xf numFmtId="0" fontId="0" fillId="36" borderId="18" xfId="57" applyFill="1" applyBorder="1">
      <alignment/>
      <protection/>
    </xf>
    <xf numFmtId="0" fontId="0" fillId="36" borderId="19" xfId="57" applyFont="1" applyFill="1" applyBorder="1">
      <alignment/>
      <protection/>
    </xf>
    <xf numFmtId="0" fontId="14" fillId="36" borderId="19" xfId="57" applyFont="1" applyFill="1" applyBorder="1">
      <alignment/>
      <protection/>
    </xf>
    <xf numFmtId="0" fontId="91" fillId="42" borderId="19" xfId="57" applyFont="1" applyFill="1" applyBorder="1">
      <alignment/>
      <protection/>
    </xf>
    <xf numFmtId="0" fontId="0" fillId="42" borderId="19" xfId="57" applyFont="1" applyFill="1" applyBorder="1">
      <alignment/>
      <protection/>
    </xf>
    <xf numFmtId="0" fontId="0" fillId="36" borderId="20" xfId="57" applyFont="1" applyFill="1" applyBorder="1">
      <alignment/>
      <protection/>
    </xf>
    <xf numFmtId="0" fontId="88" fillId="0" borderId="0" xfId="57" applyFont="1" applyFill="1" applyBorder="1">
      <alignment/>
      <protection/>
    </xf>
    <xf numFmtId="0" fontId="14" fillId="0" borderId="0" xfId="57" applyFont="1">
      <alignment/>
      <protection/>
    </xf>
    <xf numFmtId="0" fontId="0" fillId="0" borderId="24" xfId="57" applyBorder="1">
      <alignment/>
      <protection/>
    </xf>
    <xf numFmtId="0" fontId="0" fillId="0" borderId="28" xfId="57" applyFont="1" applyBorder="1">
      <alignment/>
      <protection/>
    </xf>
    <xf numFmtId="2" fontId="9" fillId="0" borderId="28" xfId="57" applyNumberFormat="1" applyFont="1" applyFill="1" applyBorder="1" applyAlignment="1">
      <alignment horizontal="center"/>
      <protection/>
    </xf>
    <xf numFmtId="173" fontId="10" fillId="0" borderId="28" xfId="57" applyNumberFormat="1" applyFont="1" applyFill="1" applyBorder="1" applyAlignment="1">
      <alignment horizontal="center"/>
      <protection/>
    </xf>
    <xf numFmtId="0" fontId="0" fillId="0" borderId="29" xfId="57" applyFont="1" applyBorder="1">
      <alignment/>
      <protection/>
    </xf>
    <xf numFmtId="0" fontId="88" fillId="0" borderId="0" xfId="57" applyFont="1">
      <alignment/>
      <protection/>
    </xf>
    <xf numFmtId="0" fontId="88" fillId="0" borderId="0" xfId="57" applyFont="1" applyBorder="1">
      <alignment/>
      <protection/>
    </xf>
    <xf numFmtId="0" fontId="0" fillId="0" borderId="16" xfId="57" applyFont="1" applyBorder="1" applyAlignment="1">
      <alignment/>
      <protection/>
    </xf>
    <xf numFmtId="0" fontId="12" fillId="0" borderId="17" xfId="57" applyFont="1" applyBorder="1">
      <alignment/>
      <protection/>
    </xf>
    <xf numFmtId="0" fontId="0" fillId="0" borderId="39" xfId="57" applyBorder="1" applyAlignment="1">
      <alignment horizontal="center"/>
      <protection/>
    </xf>
    <xf numFmtId="0" fontId="0" fillId="0" borderId="40" xfId="57" applyBorder="1" applyAlignment="1">
      <alignment horizontal="center"/>
      <protection/>
    </xf>
    <xf numFmtId="2" fontId="65" fillId="0" borderId="21" xfId="57" applyNumberFormat="1" applyFont="1" applyBorder="1" applyAlignment="1">
      <alignment horizontal="center"/>
      <protection/>
    </xf>
    <xf numFmtId="2" fontId="94" fillId="0" borderId="21" xfId="57" applyNumberFormat="1" applyFont="1" applyBorder="1" applyAlignment="1">
      <alignment horizontal="center"/>
      <protection/>
    </xf>
    <xf numFmtId="2" fontId="95" fillId="0" borderId="41" xfId="57" applyNumberFormat="1" applyFont="1" applyBorder="1" applyAlignment="1">
      <alignment horizontal="center"/>
      <protection/>
    </xf>
    <xf numFmtId="0" fontId="0" fillId="0" borderId="36" xfId="57" applyBorder="1">
      <alignment/>
      <protection/>
    </xf>
    <xf numFmtId="0" fontId="0" fillId="0" borderId="37" xfId="57" applyBorder="1" applyAlignment="1">
      <alignment horizontal="right"/>
      <protection/>
    </xf>
    <xf numFmtId="2" fontId="65" fillId="0" borderId="10" xfId="57" applyNumberFormat="1" applyFont="1" applyBorder="1" applyAlignment="1">
      <alignment horizontal="center"/>
      <protection/>
    </xf>
    <xf numFmtId="172" fontId="96" fillId="0" borderId="10" xfId="57" applyNumberFormat="1" applyFont="1" applyBorder="1" applyAlignment="1">
      <alignment horizontal="center"/>
      <protection/>
    </xf>
    <xf numFmtId="2" fontId="96" fillId="0" borderId="30" xfId="57" applyNumberFormat="1" applyFont="1" applyBorder="1" applyAlignment="1">
      <alignment horizontal="center"/>
      <protection/>
    </xf>
    <xf numFmtId="1" fontId="96" fillId="0" borderId="10" xfId="57" applyNumberFormat="1" applyFont="1" applyBorder="1" applyAlignment="1">
      <alignment horizontal="center"/>
      <protection/>
    </xf>
    <xf numFmtId="0" fontId="15" fillId="0" borderId="0" xfId="57" applyFont="1" applyBorder="1">
      <alignment/>
      <protection/>
    </xf>
    <xf numFmtId="0" fontId="14" fillId="0" borderId="0" xfId="57" applyFont="1" applyBorder="1">
      <alignment/>
      <protection/>
    </xf>
    <xf numFmtId="2" fontId="0" fillId="0" borderId="0" xfId="57" applyNumberFormat="1" applyFont="1" applyBorder="1" applyAlignment="1">
      <alignment horizontal="center"/>
      <protection/>
    </xf>
    <xf numFmtId="0" fontId="14" fillId="0" borderId="17" xfId="57" applyFont="1" applyBorder="1">
      <alignment/>
      <protection/>
    </xf>
    <xf numFmtId="0" fontId="0" fillId="43" borderId="16" xfId="57" applyFont="1" applyFill="1" applyBorder="1" applyAlignment="1">
      <alignment/>
      <protection/>
    </xf>
    <xf numFmtId="0" fontId="0" fillId="42" borderId="0" xfId="57" applyFont="1" applyFill="1" applyBorder="1" applyAlignment="1">
      <alignment/>
      <protection/>
    </xf>
    <xf numFmtId="0" fontId="0" fillId="42" borderId="0" xfId="57" applyFill="1" applyBorder="1">
      <alignment/>
      <protection/>
    </xf>
    <xf numFmtId="0" fontId="12" fillId="42" borderId="0" xfId="57" applyFont="1" applyFill="1" applyBorder="1">
      <alignment/>
      <protection/>
    </xf>
    <xf numFmtId="0" fontId="12" fillId="43" borderId="17" xfId="57" applyFont="1" applyFill="1" applyBorder="1">
      <alignment/>
      <protection/>
    </xf>
    <xf numFmtId="0" fontId="0" fillId="43" borderId="16" xfId="57" applyFill="1" applyBorder="1">
      <alignment/>
      <protection/>
    </xf>
    <xf numFmtId="0" fontId="0" fillId="42" borderId="0" xfId="57" applyFont="1" applyFill="1" applyBorder="1">
      <alignment/>
      <protection/>
    </xf>
    <xf numFmtId="0" fontId="14" fillId="42" borderId="0" xfId="57" applyFont="1" applyFill="1" applyBorder="1">
      <alignment/>
      <protection/>
    </xf>
    <xf numFmtId="2" fontId="0" fillId="42" borderId="0" xfId="57" applyNumberFormat="1" applyFont="1" applyFill="1" applyBorder="1" applyAlignment="1">
      <alignment horizontal="center"/>
      <protection/>
    </xf>
    <xf numFmtId="0" fontId="0" fillId="36" borderId="0" xfId="57" applyFont="1" applyFill="1" applyBorder="1" applyAlignment="1">
      <alignment horizontal="center"/>
      <protection/>
    </xf>
    <xf numFmtId="0" fontId="30" fillId="33" borderId="11" xfId="57" applyFont="1" applyFill="1" applyBorder="1" applyAlignment="1">
      <alignment horizontal="center" wrapText="1"/>
      <protection/>
    </xf>
    <xf numFmtId="0" fontId="0" fillId="33" borderId="13" xfId="57" applyFont="1" applyFill="1" applyBorder="1" applyAlignment="1">
      <alignment horizontal="centerContinuous"/>
      <protection/>
    </xf>
    <xf numFmtId="0" fontId="9" fillId="33" borderId="21" xfId="57" applyFont="1" applyFill="1" applyBorder="1" applyAlignment="1">
      <alignment horizontal="center"/>
      <protection/>
    </xf>
    <xf numFmtId="0" fontId="33" fillId="33" borderId="21" xfId="57" applyFont="1" applyFill="1" applyBorder="1" applyAlignment="1">
      <alignment horizontal="center"/>
      <protection/>
    </xf>
    <xf numFmtId="0" fontId="0" fillId="36" borderId="16" xfId="57" applyFill="1" applyBorder="1" applyAlignment="1">
      <alignment vertical="center"/>
      <protection/>
    </xf>
    <xf numFmtId="172" fontId="5" fillId="37" borderId="10" xfId="57" applyNumberFormat="1" applyFont="1" applyFill="1" applyBorder="1" applyAlignment="1">
      <alignment horizontal="center" vertical="center"/>
      <protection/>
    </xf>
    <xf numFmtId="1" fontId="5" fillId="37" borderId="10" xfId="57" applyNumberFormat="1" applyFont="1" applyFill="1" applyBorder="1" applyAlignment="1">
      <alignment horizontal="center" vertical="center"/>
      <protection/>
    </xf>
    <xf numFmtId="2" fontId="88" fillId="0" borderId="14" xfId="57" applyNumberFormat="1" applyFont="1" applyBorder="1" applyAlignment="1">
      <alignment horizontal="center" vertical="center"/>
      <protection/>
    </xf>
    <xf numFmtId="0" fontId="15" fillId="36" borderId="19" xfId="57" applyFont="1" applyFill="1" applyBorder="1">
      <alignment/>
      <protection/>
    </xf>
    <xf numFmtId="2" fontId="9" fillId="0" borderId="0" xfId="57" applyNumberFormat="1" applyFont="1" applyFill="1" applyBorder="1" applyAlignment="1">
      <alignment horizontal="center"/>
      <protection/>
    </xf>
    <xf numFmtId="173" fontId="10" fillId="0" borderId="0" xfId="57" applyNumberFormat="1" applyFont="1" applyFill="1" applyBorder="1" applyAlignment="1">
      <alignment horizontal="center"/>
      <protection/>
    </xf>
    <xf numFmtId="0" fontId="0" fillId="0" borderId="0" xfId="57" applyFill="1" applyBorder="1">
      <alignment/>
      <protection/>
    </xf>
    <xf numFmtId="0" fontId="12" fillId="0" borderId="0" xfId="57" applyFont="1" applyFill="1" applyBorder="1">
      <alignment/>
      <protection/>
    </xf>
    <xf numFmtId="0" fontId="1" fillId="0" borderId="17" xfId="57" applyFont="1" applyBorder="1">
      <alignment/>
      <protection/>
    </xf>
    <xf numFmtId="0" fontId="1" fillId="0" borderId="0" xfId="57" applyFont="1">
      <alignment/>
      <protection/>
    </xf>
    <xf numFmtId="0" fontId="1" fillId="36" borderId="0" xfId="57" applyFont="1" applyFill="1" applyBorder="1">
      <alignment/>
      <protection/>
    </xf>
    <xf numFmtId="0" fontId="0" fillId="0" borderId="0" xfId="57" applyFill="1" applyAlignment="1">
      <alignment vertical="center"/>
      <protection/>
    </xf>
    <xf numFmtId="0" fontId="0" fillId="36" borderId="16" xfId="57" applyFont="1" applyFill="1" applyBorder="1" applyAlignment="1">
      <alignment vertical="center"/>
      <protection/>
    </xf>
    <xf numFmtId="0" fontId="0" fillId="36" borderId="0" xfId="57" applyFont="1" applyFill="1" applyBorder="1" applyAlignment="1">
      <alignment vertical="center"/>
      <protection/>
    </xf>
    <xf numFmtId="172" fontId="5" fillId="0" borderId="10" xfId="57" applyNumberFormat="1" applyFont="1" applyBorder="1" applyAlignment="1">
      <alignment horizontal="center" vertical="center"/>
      <protection/>
    </xf>
    <xf numFmtId="0" fontId="5" fillId="0" borderId="10" xfId="57" applyNumberFormat="1" applyFont="1" applyBorder="1" applyAlignment="1">
      <alignment horizontal="center" vertical="center"/>
      <protection/>
    </xf>
    <xf numFmtId="2" fontId="5" fillId="0" borderId="10" xfId="57" applyNumberFormat="1" applyFont="1" applyBorder="1" applyAlignment="1">
      <alignment horizontal="center" vertical="center"/>
      <protection/>
    </xf>
    <xf numFmtId="0" fontId="6" fillId="0" borderId="10" xfId="57" applyNumberFormat="1" applyFont="1" applyBorder="1" applyAlignment="1">
      <alignment horizontal="center" vertical="center"/>
      <protection/>
    </xf>
    <xf numFmtId="0" fontId="0" fillId="36" borderId="18" xfId="57" applyFont="1" applyFill="1" applyBorder="1">
      <alignment/>
      <protection/>
    </xf>
    <xf numFmtId="0" fontId="12" fillId="44" borderId="0" xfId="57" applyFont="1" applyFill="1" applyBorder="1">
      <alignment/>
      <protection/>
    </xf>
    <xf numFmtId="0" fontId="0" fillId="44" borderId="0" xfId="57" applyFill="1" applyBorder="1">
      <alignment/>
      <protection/>
    </xf>
    <xf numFmtId="0" fontId="0" fillId="33" borderId="22" xfId="57" applyFont="1" applyFill="1" applyBorder="1" applyAlignment="1">
      <alignment horizontal="center"/>
      <protection/>
    </xf>
    <xf numFmtId="0" fontId="10" fillId="33" borderId="11" xfId="57" applyFont="1" applyFill="1" applyBorder="1" applyAlignment="1">
      <alignment horizontal="center" wrapText="1"/>
      <protection/>
    </xf>
    <xf numFmtId="0" fontId="29" fillId="33" borderId="11" xfId="57" applyFont="1" applyFill="1" applyBorder="1" applyAlignment="1">
      <alignment horizontal="center" wrapText="1"/>
      <protection/>
    </xf>
    <xf numFmtId="0" fontId="29" fillId="33" borderId="21" xfId="57" applyFont="1" applyFill="1" applyBorder="1" applyAlignment="1">
      <alignment horizontal="center"/>
      <protection/>
    </xf>
    <xf numFmtId="0" fontId="88" fillId="0" borderId="10" xfId="57" applyFont="1" applyBorder="1" applyAlignment="1">
      <alignment horizontal="center"/>
      <protection/>
    </xf>
    <xf numFmtId="2" fontId="5" fillId="0" borderId="10" xfId="57" applyNumberFormat="1" applyFont="1" applyFill="1" applyBorder="1" applyAlignment="1">
      <alignment horizontal="center" vertical="center"/>
      <protection/>
    </xf>
    <xf numFmtId="172" fontId="5" fillId="0" borderId="21" xfId="57" applyNumberFormat="1" applyFont="1" applyFill="1" applyBorder="1" applyAlignment="1">
      <alignment horizontal="center" vertical="center"/>
      <protection/>
    </xf>
    <xf numFmtId="2" fontId="5" fillId="0" borderId="21" xfId="57" applyNumberFormat="1" applyFont="1" applyFill="1" applyBorder="1" applyAlignment="1">
      <alignment horizontal="center" vertical="center"/>
      <protection/>
    </xf>
    <xf numFmtId="0" fontId="5" fillId="37" borderId="21" xfId="57" applyNumberFormat="1" applyFont="1" applyFill="1" applyBorder="1" applyAlignment="1">
      <alignment horizontal="center" vertical="center"/>
      <protection/>
    </xf>
    <xf numFmtId="0" fontId="5" fillId="0" borderId="10" xfId="57" applyNumberFormat="1" applyFont="1" applyFill="1" applyBorder="1" applyAlignment="1">
      <alignment horizontal="center" vertical="center"/>
      <protection/>
    </xf>
    <xf numFmtId="0" fontId="23" fillId="36" borderId="19" xfId="57" applyFont="1" applyFill="1" applyBorder="1">
      <alignment/>
      <protection/>
    </xf>
    <xf numFmtId="2" fontId="0" fillId="0" borderId="0" xfId="57" applyNumberFormat="1" applyFont="1">
      <alignment/>
      <protection/>
    </xf>
    <xf numFmtId="0" fontId="44" fillId="0" borderId="16" xfId="0" applyFont="1" applyBorder="1" applyAlignment="1">
      <alignment/>
    </xf>
    <xf numFmtId="0" fontId="38" fillId="0" borderId="18" xfId="57" applyFont="1" applyBorder="1">
      <alignment/>
      <protection/>
    </xf>
    <xf numFmtId="0" fontId="0" fillId="0" borderId="0" xfId="0" applyFont="1" applyBorder="1" applyAlignment="1">
      <alignment horizontal="left"/>
    </xf>
    <xf numFmtId="0" fontId="23" fillId="0" borderId="0" xfId="0" applyFont="1" applyFill="1" applyBorder="1" applyAlignment="1">
      <alignment/>
    </xf>
    <xf numFmtId="0" fontId="97" fillId="0" borderId="0" xfId="0" applyFont="1" applyFill="1" applyBorder="1" applyAlignment="1">
      <alignment/>
    </xf>
    <xf numFmtId="0" fontId="0" fillId="0" borderId="18" xfId="0" applyFont="1" applyBorder="1" applyAlignment="1">
      <alignment horizontal="center" vertical="center" wrapText="1"/>
    </xf>
    <xf numFmtId="0" fontId="0" fillId="0" borderId="19"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14" fillId="42" borderId="37" xfId="0" applyFont="1" applyFill="1" applyBorder="1" applyAlignment="1">
      <alignment vertical="center"/>
    </xf>
    <xf numFmtId="0" fontId="14" fillId="42" borderId="15" xfId="0" applyFont="1" applyFill="1" applyBorder="1" applyAlignment="1">
      <alignment vertical="center"/>
    </xf>
    <xf numFmtId="0" fontId="21" fillId="0" borderId="0" xfId="0" applyFont="1" applyFill="1" applyBorder="1" applyAlignment="1">
      <alignment horizontal="center" vertical="center" wrapText="1"/>
    </xf>
    <xf numFmtId="0" fontId="0" fillId="0" borderId="24" xfId="0" applyFont="1" applyBorder="1" applyAlignment="1">
      <alignment/>
    </xf>
    <xf numFmtId="0" fontId="0" fillId="0" borderId="28" xfId="0" applyFont="1" applyBorder="1" applyAlignment="1">
      <alignment/>
    </xf>
    <xf numFmtId="0" fontId="0" fillId="0" borderId="29" xfId="0" applyFont="1" applyBorder="1" applyAlignment="1">
      <alignment/>
    </xf>
    <xf numFmtId="0" fontId="38" fillId="0" borderId="19" xfId="0" applyFont="1" applyFill="1" applyBorder="1" applyAlignment="1">
      <alignment/>
    </xf>
    <xf numFmtId="0" fontId="34" fillId="0" borderId="16" xfId="53" applyFont="1" applyBorder="1" applyAlignment="1" applyProtection="1">
      <alignment horizontal="left"/>
      <protection/>
    </xf>
    <xf numFmtId="0" fontId="34" fillId="0" borderId="0" xfId="53" applyFont="1" applyBorder="1" applyAlignment="1" applyProtection="1">
      <alignment horizontal="left"/>
      <protection/>
    </xf>
    <xf numFmtId="0" fontId="91" fillId="42" borderId="35" xfId="0" applyFont="1" applyFill="1" applyBorder="1" applyAlignment="1">
      <alignment horizontal="left"/>
    </xf>
    <xf numFmtId="0" fontId="91" fillId="42" borderId="23" xfId="0" applyFont="1" applyFill="1" applyBorder="1" applyAlignment="1">
      <alignment horizontal="left"/>
    </xf>
    <xf numFmtId="0" fontId="1" fillId="33" borderId="13" xfId="0" applyFont="1" applyFill="1" applyBorder="1" applyAlignment="1">
      <alignment horizontal="center"/>
    </xf>
    <xf numFmtId="0" fontId="1" fillId="33" borderId="15" xfId="0" applyFont="1" applyFill="1" applyBorder="1" applyAlignment="1">
      <alignment horizontal="center"/>
    </xf>
    <xf numFmtId="0" fontId="1" fillId="33" borderId="14" xfId="0" applyFont="1" applyFill="1" applyBorder="1" applyAlignment="1">
      <alignment horizontal="center"/>
    </xf>
    <xf numFmtId="0" fontId="0" fillId="33" borderId="10" xfId="0" applyFont="1" applyFill="1" applyBorder="1" applyAlignment="1">
      <alignment horizontal="center"/>
    </xf>
    <xf numFmtId="172" fontId="3" fillId="39" borderId="11" xfId="0" applyNumberFormat="1" applyFont="1" applyFill="1" applyBorder="1" applyAlignment="1">
      <alignment horizontal="center" vertical="center"/>
    </xf>
    <xf numFmtId="172" fontId="3" fillId="39" borderId="21" xfId="0" applyNumberFormat="1" applyFont="1" applyFill="1" applyBorder="1" applyAlignment="1">
      <alignment horizontal="center" vertical="center"/>
    </xf>
    <xf numFmtId="0" fontId="6" fillId="37" borderId="11" xfId="0" applyNumberFormat="1" applyFont="1" applyFill="1" applyBorder="1" applyAlignment="1">
      <alignment horizontal="center" vertical="center"/>
    </xf>
    <xf numFmtId="0" fontId="6" fillId="37" borderId="21" xfId="0" applyNumberFormat="1" applyFont="1" applyFill="1" applyBorder="1" applyAlignment="1">
      <alignment horizontal="center" vertical="center"/>
    </xf>
    <xf numFmtId="0" fontId="5" fillId="37" borderId="11" xfId="0" applyNumberFormat="1" applyFont="1" applyFill="1" applyBorder="1" applyAlignment="1">
      <alignment horizontal="center" vertical="center"/>
    </xf>
    <xf numFmtId="0" fontId="0" fillId="0" borderId="21" xfId="0" applyBorder="1" applyAlignment="1">
      <alignment/>
    </xf>
    <xf numFmtId="0" fontId="0" fillId="33" borderId="11" xfId="0" applyFont="1" applyFill="1" applyBorder="1" applyAlignment="1">
      <alignment horizontal="center" wrapText="1"/>
    </xf>
    <xf numFmtId="0" fontId="0" fillId="33" borderId="21" xfId="0" applyFont="1" applyFill="1" applyBorder="1" applyAlignment="1">
      <alignment horizontal="center" wrapText="1"/>
    </xf>
    <xf numFmtId="0" fontId="0" fillId="33" borderId="13" xfId="0" applyFont="1" applyFill="1" applyBorder="1" applyAlignment="1">
      <alignment horizontal="center"/>
    </xf>
    <xf numFmtId="0" fontId="0" fillId="33" borderId="15" xfId="0" applyFont="1" applyFill="1" applyBorder="1" applyAlignment="1">
      <alignment horizontal="center"/>
    </xf>
    <xf numFmtId="0" fontId="0" fillId="33" borderId="14" xfId="0" applyFont="1" applyFill="1" applyBorder="1" applyAlignment="1">
      <alignment horizontal="center"/>
    </xf>
    <xf numFmtId="0" fontId="0" fillId="33" borderId="42"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2" fillId="33" borderId="10" xfId="0" applyFont="1" applyFill="1" applyBorder="1" applyAlignment="1">
      <alignment horizontal="center"/>
    </xf>
    <xf numFmtId="0" fontId="1" fillId="0" borderId="16" xfId="0" applyFont="1" applyBorder="1" applyAlignment="1">
      <alignment horizontal="left"/>
    </xf>
    <xf numFmtId="0" fontId="0" fillId="0" borderId="0" xfId="0" applyAlignment="1">
      <alignment/>
    </xf>
    <xf numFmtId="0" fontId="2" fillId="33" borderId="22" xfId="0" applyFont="1" applyFill="1" applyBorder="1" applyAlignment="1">
      <alignment horizontal="center" wrapText="1"/>
    </xf>
    <xf numFmtId="0" fontId="2" fillId="33" borderId="36" xfId="0" applyFont="1" applyFill="1" applyBorder="1" applyAlignment="1">
      <alignment horizontal="center" wrapText="1"/>
    </xf>
    <xf numFmtId="0" fontId="2" fillId="33" borderId="11" xfId="0" applyFont="1" applyFill="1" applyBorder="1" applyAlignment="1">
      <alignment horizontal="center" wrapText="1"/>
    </xf>
    <xf numFmtId="172" fontId="3" fillId="38" borderId="11" xfId="0" applyNumberFormat="1" applyFont="1" applyFill="1" applyBorder="1" applyAlignment="1">
      <alignment horizontal="center" vertical="center"/>
    </xf>
    <xf numFmtId="172" fontId="3" fillId="38" borderId="21" xfId="0" applyNumberFormat="1" applyFont="1" applyFill="1" applyBorder="1" applyAlignment="1">
      <alignment horizontal="center" vertical="center"/>
    </xf>
    <xf numFmtId="0" fontId="7" fillId="38" borderId="10" xfId="0" applyFont="1" applyFill="1" applyBorder="1" applyAlignment="1">
      <alignment horizontal="center" vertical="center" wrapText="1"/>
    </xf>
    <xf numFmtId="0" fontId="7" fillId="38" borderId="11" xfId="0" applyFont="1" applyFill="1" applyBorder="1" applyAlignment="1">
      <alignment horizontal="center" vertical="center" wrapText="1"/>
    </xf>
    <xf numFmtId="172" fontId="3" fillId="39" borderId="43" xfId="0" applyNumberFormat="1" applyFont="1" applyFill="1" applyBorder="1" applyAlignment="1">
      <alignment horizontal="center" vertical="center"/>
    </xf>
    <xf numFmtId="2" fontId="8" fillId="0" borderId="10" xfId="0" applyNumberFormat="1" applyFont="1" applyBorder="1" applyAlignment="1">
      <alignment horizontal="center" vertical="center"/>
    </xf>
    <xf numFmtId="0" fontId="7" fillId="39" borderId="21" xfId="0" applyFont="1" applyFill="1" applyBorder="1" applyAlignment="1">
      <alignment horizontal="center" vertical="center" wrapText="1"/>
    </xf>
    <xf numFmtId="0" fontId="7" fillId="39" borderId="10" xfId="0" applyFont="1" applyFill="1" applyBorder="1" applyAlignment="1">
      <alignment horizontal="center" vertical="center" wrapText="1"/>
    </xf>
    <xf numFmtId="0" fontId="7" fillId="39" borderId="13" xfId="0" applyFont="1" applyFill="1" applyBorder="1" applyAlignment="1">
      <alignment horizontal="center" vertical="center" wrapText="1"/>
    </xf>
    <xf numFmtId="2" fontId="6" fillId="37" borderId="11" xfId="0" applyNumberFormat="1" applyFont="1" applyFill="1" applyBorder="1" applyAlignment="1">
      <alignment horizontal="center" vertical="center"/>
    </xf>
    <xf numFmtId="2" fontId="6" fillId="37" borderId="21" xfId="0" applyNumberFormat="1" applyFont="1" applyFill="1" applyBorder="1" applyAlignment="1">
      <alignment horizontal="center" vertical="center"/>
    </xf>
    <xf numFmtId="172" fontId="3" fillId="38" borderId="43" xfId="0" applyNumberFormat="1" applyFont="1" applyFill="1" applyBorder="1" applyAlignment="1">
      <alignment horizontal="center" vertical="center"/>
    </xf>
    <xf numFmtId="2" fontId="3" fillId="38" borderId="11" xfId="0" applyNumberFormat="1" applyFont="1" applyFill="1" applyBorder="1" applyAlignment="1">
      <alignment horizontal="center" vertical="center"/>
    </xf>
    <xf numFmtId="2" fontId="3" fillId="38" borderId="21" xfId="0" applyNumberFormat="1" applyFont="1" applyFill="1" applyBorder="1" applyAlignment="1">
      <alignment horizontal="center" vertical="center"/>
    </xf>
    <xf numFmtId="0" fontId="98" fillId="42" borderId="35" xfId="0" applyFont="1" applyFill="1" applyBorder="1" applyAlignment="1">
      <alignment horizontal="left"/>
    </xf>
    <xf numFmtId="0" fontId="98" fillId="42" borderId="23" xfId="0" applyFont="1" applyFill="1" applyBorder="1" applyAlignment="1">
      <alignment horizontal="left"/>
    </xf>
    <xf numFmtId="2" fontId="3" fillId="39" borderId="11" xfId="0" applyNumberFormat="1" applyFont="1" applyFill="1" applyBorder="1" applyAlignment="1">
      <alignment horizontal="center" vertical="center"/>
    </xf>
    <xf numFmtId="2" fontId="3" fillId="39" borderId="21" xfId="0" applyNumberFormat="1" applyFont="1" applyFill="1" applyBorder="1" applyAlignment="1">
      <alignment horizontal="center" vertical="center"/>
    </xf>
    <xf numFmtId="0" fontId="7" fillId="38" borderId="21" xfId="0" applyFont="1" applyFill="1" applyBorder="1" applyAlignment="1">
      <alignment horizontal="center" vertical="center" wrapText="1"/>
    </xf>
    <xf numFmtId="2" fontId="5" fillId="37" borderId="10" xfId="0" applyNumberFormat="1" applyFont="1" applyFill="1" applyBorder="1" applyAlignment="1">
      <alignment horizontal="center" vertical="center"/>
    </xf>
    <xf numFmtId="1" fontId="16" fillId="39" borderId="36" xfId="0" applyNumberFormat="1" applyFont="1" applyFill="1" applyBorder="1" applyAlignment="1">
      <alignment horizontal="center" vertical="center"/>
    </xf>
    <xf numFmtId="1" fontId="16" fillId="39" borderId="38" xfId="0" applyNumberFormat="1" applyFont="1" applyFill="1" applyBorder="1" applyAlignment="1">
      <alignment horizontal="center" vertical="center"/>
    </xf>
    <xf numFmtId="1" fontId="8" fillId="0" borderId="10" xfId="0" applyNumberFormat="1" applyFont="1" applyBorder="1" applyAlignment="1">
      <alignment horizontal="center" vertical="center"/>
    </xf>
    <xf numFmtId="172" fontId="8" fillId="0" borderId="10" xfId="0" applyNumberFormat="1" applyFont="1" applyBorder="1" applyAlignment="1">
      <alignment horizontal="center" vertical="center"/>
    </xf>
    <xf numFmtId="1" fontId="16" fillId="38" borderId="12" xfId="0" applyNumberFormat="1" applyFont="1" applyFill="1" applyBorder="1" applyAlignment="1">
      <alignment horizontal="center" vertical="center"/>
    </xf>
    <xf numFmtId="1" fontId="16" fillId="38" borderId="31" xfId="0" applyNumberFormat="1" applyFont="1" applyFill="1" applyBorder="1" applyAlignment="1">
      <alignment horizontal="center" vertical="center"/>
    </xf>
    <xf numFmtId="172" fontId="8" fillId="0" borderId="11" xfId="0" applyNumberFormat="1" applyFont="1" applyBorder="1" applyAlignment="1">
      <alignment horizontal="center" vertical="center"/>
    </xf>
    <xf numFmtId="172" fontId="8" fillId="0" borderId="21" xfId="0" applyNumberFormat="1" applyFont="1" applyBorder="1" applyAlignment="1">
      <alignment horizontal="center" vertical="center"/>
    </xf>
    <xf numFmtId="0" fontId="2" fillId="33" borderId="13" xfId="0" applyFont="1" applyFill="1" applyBorder="1" applyAlignment="1">
      <alignment horizontal="center" wrapText="1"/>
    </xf>
    <xf numFmtId="0" fontId="2" fillId="33" borderId="14" xfId="0" applyFont="1" applyFill="1" applyBorder="1" applyAlignment="1">
      <alignment horizontal="center" wrapText="1"/>
    </xf>
    <xf numFmtId="1" fontId="16" fillId="38" borderId="36" xfId="0" applyNumberFormat="1" applyFont="1" applyFill="1" applyBorder="1" applyAlignment="1">
      <alignment horizontal="center" vertical="center"/>
    </xf>
    <xf numFmtId="1" fontId="16" fillId="38" borderId="38" xfId="0" applyNumberFormat="1" applyFont="1" applyFill="1" applyBorder="1" applyAlignment="1">
      <alignment horizontal="center" vertical="center"/>
    </xf>
    <xf numFmtId="0" fontId="7" fillId="39" borderId="11" xfId="0" applyFont="1" applyFill="1" applyBorder="1" applyAlignment="1">
      <alignment horizontal="center" vertical="center" wrapText="1"/>
    </xf>
    <xf numFmtId="173" fontId="3" fillId="38" borderId="11" xfId="0" applyNumberFormat="1" applyFont="1" applyFill="1" applyBorder="1" applyAlignment="1">
      <alignment horizontal="center" vertical="center"/>
    </xf>
    <xf numFmtId="173" fontId="3" fillId="38" borderId="21" xfId="0" applyNumberFormat="1" applyFont="1" applyFill="1" applyBorder="1" applyAlignment="1">
      <alignment horizontal="center" vertical="center"/>
    </xf>
    <xf numFmtId="0" fontId="10" fillId="33" borderId="22"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28" fillId="33" borderId="22" xfId="0" applyFont="1" applyFill="1" applyBorder="1" applyAlignment="1">
      <alignment horizontal="center" vertical="center" wrapText="1"/>
    </xf>
    <xf numFmtId="0" fontId="28" fillId="33" borderId="23" xfId="0" applyFont="1" applyFill="1" applyBorder="1" applyAlignment="1">
      <alignment horizontal="center" vertical="center" wrapText="1"/>
    </xf>
    <xf numFmtId="0" fontId="28" fillId="33" borderId="12" xfId="0" applyFont="1" applyFill="1" applyBorder="1" applyAlignment="1">
      <alignment horizontal="center" vertical="center" wrapText="1"/>
    </xf>
    <xf numFmtId="0" fontId="28" fillId="33" borderId="31" xfId="0" applyFont="1" applyFill="1" applyBorder="1" applyAlignment="1">
      <alignment horizontal="center" vertical="center" wrapText="1"/>
    </xf>
    <xf numFmtId="0" fontId="29" fillId="33" borderId="22" xfId="0" applyFont="1" applyFill="1" applyBorder="1" applyAlignment="1">
      <alignment horizontal="center" vertical="center" wrapText="1"/>
    </xf>
    <xf numFmtId="0" fontId="29" fillId="33" borderId="23"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29" fillId="33" borderId="31" xfId="0" applyFont="1" applyFill="1" applyBorder="1" applyAlignment="1">
      <alignment horizontal="center" vertical="center" wrapText="1"/>
    </xf>
    <xf numFmtId="0" fontId="0" fillId="33" borderId="13" xfId="0" applyFill="1" applyBorder="1" applyAlignment="1">
      <alignment horizontal="center" wrapText="1"/>
    </xf>
    <xf numFmtId="0" fontId="0" fillId="33" borderId="15" xfId="0" applyFill="1" applyBorder="1" applyAlignment="1">
      <alignment horizontal="center" wrapText="1"/>
    </xf>
    <xf numFmtId="0" fontId="0" fillId="33" borderId="14" xfId="0" applyFill="1" applyBorder="1" applyAlignment="1">
      <alignment horizontal="center" wrapText="1"/>
    </xf>
    <xf numFmtId="0" fontId="7" fillId="38" borderId="13" xfId="0" applyFont="1" applyFill="1" applyBorder="1" applyAlignment="1">
      <alignment horizontal="center" vertical="center" wrapText="1"/>
    </xf>
    <xf numFmtId="0" fontId="7" fillId="38" borderId="22" xfId="0" applyFont="1" applyFill="1" applyBorder="1" applyAlignment="1">
      <alignment horizontal="center" vertical="center" wrapText="1"/>
    </xf>
    <xf numFmtId="0" fontId="5" fillId="37" borderId="21" xfId="0" applyNumberFormat="1" applyFont="1" applyFill="1" applyBorder="1" applyAlignment="1">
      <alignment horizontal="center" vertical="center"/>
    </xf>
    <xf numFmtId="0" fontId="34" fillId="0" borderId="16" xfId="53" applyFont="1" applyBorder="1" applyAlignment="1" applyProtection="1">
      <alignment/>
      <protection/>
    </xf>
    <xf numFmtId="0" fontId="34" fillId="0" borderId="0" xfId="53" applyFont="1" applyBorder="1" applyAlignment="1" applyProtection="1">
      <alignment/>
      <protection/>
    </xf>
    <xf numFmtId="0" fontId="1" fillId="0" borderId="0" xfId="0" applyFont="1" applyBorder="1" applyAlignment="1">
      <alignment horizontal="left"/>
    </xf>
    <xf numFmtId="1" fontId="16" fillId="39" borderId="12" xfId="0" applyNumberFormat="1" applyFont="1" applyFill="1" applyBorder="1" applyAlignment="1">
      <alignment horizontal="center" vertical="center"/>
    </xf>
    <xf numFmtId="1" fontId="16" fillId="39" borderId="31" xfId="0" applyNumberFormat="1" applyFont="1" applyFill="1" applyBorder="1" applyAlignment="1">
      <alignment horizontal="center" vertical="center"/>
    </xf>
    <xf numFmtId="0" fontId="10" fillId="33" borderId="36"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38" xfId="0" applyFont="1" applyFill="1" applyBorder="1" applyAlignment="1">
      <alignment horizontal="center" vertical="center" wrapText="1"/>
    </xf>
    <xf numFmtId="0" fontId="28" fillId="33" borderId="36" xfId="0" applyFont="1" applyFill="1" applyBorder="1" applyAlignment="1">
      <alignment horizontal="center" vertical="center" wrapText="1"/>
    </xf>
    <xf numFmtId="0" fontId="28" fillId="33" borderId="38" xfId="0" applyFont="1" applyFill="1" applyBorder="1" applyAlignment="1">
      <alignment horizontal="center" vertical="center" wrapText="1"/>
    </xf>
    <xf numFmtId="2" fontId="5" fillId="37" borderId="11" xfId="0" applyNumberFormat="1" applyFont="1" applyFill="1" applyBorder="1" applyAlignment="1">
      <alignment horizontal="center" vertical="center"/>
    </xf>
    <xf numFmtId="2" fontId="5" fillId="37" borderId="21" xfId="0" applyNumberFormat="1" applyFont="1" applyFill="1" applyBorder="1" applyAlignment="1">
      <alignment horizontal="center" vertical="center"/>
    </xf>
    <xf numFmtId="173" fontId="3" fillId="39" borderId="11" xfId="0" applyNumberFormat="1" applyFont="1" applyFill="1" applyBorder="1" applyAlignment="1">
      <alignment horizontal="center" vertical="center"/>
    </xf>
    <xf numFmtId="173" fontId="3" fillId="39" borderId="21" xfId="0" applyNumberFormat="1" applyFont="1" applyFill="1" applyBorder="1" applyAlignment="1">
      <alignment horizontal="center" vertical="center"/>
    </xf>
    <xf numFmtId="2" fontId="88" fillId="0" borderId="10" xfId="0" applyNumberFormat="1" applyFont="1" applyBorder="1" applyAlignment="1">
      <alignment horizontal="center" vertical="center"/>
    </xf>
    <xf numFmtId="173" fontId="88" fillId="0" borderId="10" xfId="0" applyNumberFormat="1" applyFont="1" applyBorder="1" applyAlignment="1">
      <alignment horizontal="center" vertical="center"/>
    </xf>
    <xf numFmtId="0" fontId="0" fillId="33" borderId="11" xfId="0" applyFont="1" applyFill="1" applyBorder="1" applyAlignment="1">
      <alignment horizontal="center" vertical="center" wrapText="1"/>
    </xf>
    <xf numFmtId="0" fontId="0" fillId="33" borderId="21" xfId="0" applyFont="1" applyFill="1" applyBorder="1" applyAlignment="1">
      <alignment horizontal="center" vertical="center" wrapText="1"/>
    </xf>
    <xf numFmtId="2" fontId="3" fillId="38" borderId="43" xfId="0" applyNumberFormat="1" applyFont="1" applyFill="1" applyBorder="1" applyAlignment="1">
      <alignment horizontal="center" vertical="center"/>
    </xf>
    <xf numFmtId="0" fontId="17" fillId="33" borderId="11" xfId="0" applyFont="1" applyFill="1" applyBorder="1" applyAlignment="1">
      <alignment horizontal="center" wrapText="1"/>
    </xf>
    <xf numFmtId="0" fontId="17" fillId="33" borderId="21" xfId="0" applyFont="1" applyFill="1" applyBorder="1" applyAlignment="1">
      <alignment horizontal="center" wrapText="1"/>
    </xf>
    <xf numFmtId="2" fontId="3" fillId="39" borderId="43" xfId="0" applyNumberFormat="1" applyFont="1" applyFill="1" applyBorder="1" applyAlignment="1">
      <alignment horizontal="center" vertical="center"/>
    </xf>
    <xf numFmtId="173" fontId="3" fillId="39" borderId="43" xfId="0" applyNumberFormat="1" applyFont="1" applyFill="1" applyBorder="1" applyAlignment="1">
      <alignment horizontal="center" vertical="center"/>
    </xf>
    <xf numFmtId="0" fontId="7" fillId="39" borderId="43" xfId="0" applyFont="1" applyFill="1" applyBorder="1" applyAlignment="1">
      <alignment horizontal="center" vertical="center" wrapText="1"/>
    </xf>
    <xf numFmtId="173" fontId="3" fillId="38" borderId="43"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0" fillId="33" borderId="11" xfId="0" applyFont="1" applyFill="1" applyBorder="1" applyAlignment="1">
      <alignment horizontal="center"/>
    </xf>
    <xf numFmtId="0" fontId="0" fillId="33" borderId="21" xfId="0" applyFont="1" applyFill="1" applyBorder="1" applyAlignment="1">
      <alignment horizontal="center"/>
    </xf>
    <xf numFmtId="0" fontId="92" fillId="45" borderId="32" xfId="0" applyFont="1" applyFill="1" applyBorder="1" applyAlignment="1">
      <alignment horizontal="left" vertical="center"/>
    </xf>
    <xf numFmtId="0" fontId="92" fillId="45" borderId="33" xfId="0" applyFont="1" applyFill="1" applyBorder="1" applyAlignment="1">
      <alignment horizontal="left" vertical="center"/>
    </xf>
    <xf numFmtId="0" fontId="92" fillId="45" borderId="34" xfId="0" applyFont="1" applyFill="1" applyBorder="1" applyAlignment="1">
      <alignment horizontal="left" vertical="center"/>
    </xf>
    <xf numFmtId="0" fontId="92" fillId="45" borderId="13" xfId="0" applyFont="1" applyFill="1" applyBorder="1" applyAlignment="1">
      <alignment horizontal="left" vertical="center"/>
    </xf>
    <xf numFmtId="0" fontId="92" fillId="45" borderId="15" xfId="0" applyFont="1" applyFill="1" applyBorder="1" applyAlignment="1">
      <alignment horizontal="left" vertical="center"/>
    </xf>
    <xf numFmtId="0" fontId="92" fillId="45" borderId="14" xfId="0" applyFont="1" applyFill="1" applyBorder="1" applyAlignment="1">
      <alignment horizontal="left" vertical="center"/>
    </xf>
    <xf numFmtId="0" fontId="1" fillId="0" borderId="16" xfId="57" applyFont="1" applyBorder="1" applyAlignment="1">
      <alignment horizontal="left"/>
      <protection/>
    </xf>
    <xf numFmtId="0" fontId="1" fillId="0" borderId="0" xfId="57" applyFont="1" applyBorder="1" applyAlignment="1">
      <alignment horizontal="left"/>
      <protection/>
    </xf>
    <xf numFmtId="0" fontId="1" fillId="33" borderId="13" xfId="57" applyFont="1" applyFill="1" applyBorder="1" applyAlignment="1">
      <alignment horizontal="center"/>
      <protection/>
    </xf>
    <xf numFmtId="0" fontId="1" fillId="33" borderId="15" xfId="57" applyFont="1" applyFill="1" applyBorder="1" applyAlignment="1">
      <alignment horizontal="center"/>
      <protection/>
    </xf>
    <xf numFmtId="0" fontId="1" fillId="33" borderId="14" xfId="57" applyFont="1" applyFill="1" applyBorder="1" applyAlignment="1">
      <alignment horizontal="center"/>
      <protection/>
    </xf>
    <xf numFmtId="0" fontId="2" fillId="33" borderId="13" xfId="57" applyFont="1" applyFill="1" applyBorder="1" applyAlignment="1">
      <alignment horizontal="center" wrapText="1"/>
      <protection/>
    </xf>
    <xf numFmtId="0" fontId="2" fillId="33" borderId="14" xfId="57" applyFont="1" applyFill="1" applyBorder="1" applyAlignment="1">
      <alignment horizontal="center" wrapText="1"/>
      <protection/>
    </xf>
    <xf numFmtId="0" fontId="0" fillId="33" borderId="13" xfId="57" applyFont="1" applyFill="1" applyBorder="1" applyAlignment="1">
      <alignment horizontal="center" wrapText="1"/>
      <protection/>
    </xf>
    <xf numFmtId="0" fontId="0" fillId="33" borderId="15" xfId="57" applyFill="1" applyBorder="1" applyAlignment="1">
      <alignment horizontal="center" wrapText="1"/>
      <protection/>
    </xf>
    <xf numFmtId="0" fontId="0" fillId="33" borderId="14" xfId="57" applyFill="1" applyBorder="1" applyAlignment="1">
      <alignment horizontal="center" wrapText="1"/>
      <protection/>
    </xf>
    <xf numFmtId="0" fontId="0" fillId="33" borderId="10" xfId="57" applyFont="1" applyFill="1" applyBorder="1" applyAlignment="1">
      <alignment horizontal="center"/>
      <protection/>
    </xf>
    <xf numFmtId="0" fontId="0" fillId="33" borderId="11" xfId="57" applyFont="1" applyFill="1" applyBorder="1" applyAlignment="1">
      <alignment horizontal="center"/>
      <protection/>
    </xf>
    <xf numFmtId="0" fontId="0" fillId="33" borderId="11" xfId="57" applyFont="1" applyFill="1" applyBorder="1" applyAlignment="1">
      <alignment horizontal="center" wrapText="1"/>
      <protection/>
    </xf>
    <xf numFmtId="0" fontId="0" fillId="33" borderId="21" xfId="57" applyFont="1" applyFill="1" applyBorder="1" applyAlignment="1">
      <alignment horizontal="center" wrapText="1"/>
      <protection/>
    </xf>
    <xf numFmtId="0" fontId="2" fillId="33" borderId="11" xfId="57" applyFont="1" applyFill="1" applyBorder="1" applyAlignment="1">
      <alignment horizontal="center" wrapText="1"/>
      <protection/>
    </xf>
    <xf numFmtId="0" fontId="2" fillId="33" borderId="36" xfId="57" applyFont="1" applyFill="1" applyBorder="1" applyAlignment="1">
      <alignment horizontal="center" wrapText="1"/>
      <protection/>
    </xf>
    <xf numFmtId="0" fontId="0" fillId="33" borderId="13" xfId="57" applyFont="1" applyFill="1" applyBorder="1" applyAlignment="1">
      <alignment horizontal="center"/>
      <protection/>
    </xf>
    <xf numFmtId="0" fontId="0" fillId="33" borderId="15" xfId="57" applyFont="1" applyFill="1" applyBorder="1" applyAlignment="1">
      <alignment horizontal="center"/>
      <protection/>
    </xf>
    <xf numFmtId="0" fontId="0" fillId="33" borderId="14" xfId="57" applyFont="1" applyFill="1" applyBorder="1" applyAlignment="1">
      <alignment horizontal="center"/>
      <protection/>
    </xf>
    <xf numFmtId="0" fontId="2" fillId="33" borderId="10" xfId="57" applyFont="1" applyFill="1" applyBorder="1" applyAlignment="1">
      <alignment horizontal="center"/>
      <protection/>
    </xf>
    <xf numFmtId="0" fontId="10" fillId="33" borderId="22" xfId="57" applyFont="1" applyFill="1" applyBorder="1" applyAlignment="1">
      <alignment horizontal="center" vertical="center" wrapText="1"/>
      <protection/>
    </xf>
    <xf numFmtId="0" fontId="10" fillId="33" borderId="23" xfId="57" applyFont="1" applyFill="1" applyBorder="1" applyAlignment="1">
      <alignment horizontal="center" vertical="center" wrapText="1"/>
      <protection/>
    </xf>
    <xf numFmtId="0" fontId="10" fillId="33" borderId="36" xfId="57" applyFont="1" applyFill="1" applyBorder="1" applyAlignment="1">
      <alignment horizontal="center" vertical="center" wrapText="1"/>
      <protection/>
    </xf>
    <xf numFmtId="0" fontId="10" fillId="33" borderId="38" xfId="57" applyFont="1" applyFill="1" applyBorder="1" applyAlignment="1">
      <alignment horizontal="center" vertical="center" wrapText="1"/>
      <protection/>
    </xf>
    <xf numFmtId="0" fontId="28" fillId="33" borderId="22" xfId="57" applyFont="1" applyFill="1" applyBorder="1" applyAlignment="1">
      <alignment horizontal="center" vertical="center" wrapText="1"/>
      <protection/>
    </xf>
    <xf numFmtId="0" fontId="28" fillId="33" borderId="23" xfId="57" applyFont="1" applyFill="1" applyBorder="1" applyAlignment="1">
      <alignment horizontal="center" vertical="center" wrapText="1"/>
      <protection/>
    </xf>
    <xf numFmtId="0" fontId="28" fillId="33" borderId="36" xfId="57" applyFont="1" applyFill="1" applyBorder="1" applyAlignment="1">
      <alignment horizontal="center" vertical="center" wrapText="1"/>
      <protection/>
    </xf>
    <xf numFmtId="0" fontId="28" fillId="33" borderId="38" xfId="57" applyFont="1" applyFill="1" applyBorder="1" applyAlignment="1">
      <alignment horizontal="center" vertical="center" wrapText="1"/>
      <protection/>
    </xf>
    <xf numFmtId="0" fontId="29" fillId="33" borderId="22" xfId="57" applyFont="1" applyFill="1" applyBorder="1" applyAlignment="1">
      <alignment horizontal="center" vertical="center" wrapText="1"/>
      <protection/>
    </xf>
    <xf numFmtId="0" fontId="29" fillId="33" borderId="23" xfId="57" applyFont="1" applyFill="1" applyBorder="1" applyAlignment="1">
      <alignment horizontal="center" vertical="center" wrapText="1"/>
      <protection/>
    </xf>
    <xf numFmtId="0" fontId="29" fillId="33" borderId="36" xfId="57" applyFont="1" applyFill="1" applyBorder="1" applyAlignment="1">
      <alignment horizontal="center" vertical="center" wrapText="1"/>
      <protection/>
    </xf>
    <xf numFmtId="0" fontId="29" fillId="33" borderId="38" xfId="57" applyFont="1" applyFill="1" applyBorder="1" applyAlignment="1">
      <alignment horizontal="center" vertical="center" wrapText="1"/>
      <protection/>
    </xf>
    <xf numFmtId="0" fontId="0" fillId="33" borderId="42" xfId="57" applyFont="1" applyFill="1" applyBorder="1" applyAlignment="1">
      <alignment horizontal="center" vertical="center" wrapText="1"/>
      <protection/>
    </xf>
    <xf numFmtId="0" fontId="0" fillId="33" borderId="41" xfId="57" applyFont="1" applyFill="1" applyBorder="1" applyAlignment="1">
      <alignment horizontal="center" vertical="center" wrapText="1"/>
      <protection/>
    </xf>
    <xf numFmtId="0" fontId="99" fillId="0" borderId="11" xfId="57" applyFont="1" applyFill="1" applyBorder="1" applyAlignment="1">
      <alignment horizontal="center" wrapText="1"/>
      <protection/>
    </xf>
    <xf numFmtId="0" fontId="99" fillId="0" borderId="21" xfId="57" applyFont="1" applyFill="1" applyBorder="1" applyAlignment="1">
      <alignment horizontal="center" wrapText="1"/>
      <protection/>
    </xf>
    <xf numFmtId="0" fontId="6" fillId="37" borderId="11" xfId="57" applyNumberFormat="1" applyFont="1" applyFill="1" applyBorder="1" applyAlignment="1">
      <alignment horizontal="center" vertical="center"/>
      <protection/>
    </xf>
    <xf numFmtId="0" fontId="6" fillId="37" borderId="21" xfId="57" applyNumberFormat="1" applyFont="1" applyFill="1" applyBorder="1" applyAlignment="1">
      <alignment horizontal="center" vertical="center"/>
      <protection/>
    </xf>
    <xf numFmtId="2" fontId="5" fillId="37" borderId="11" xfId="57" applyNumberFormat="1" applyFont="1" applyFill="1" applyBorder="1" applyAlignment="1">
      <alignment horizontal="center" vertical="center"/>
      <protection/>
    </xf>
    <xf numFmtId="2" fontId="5" fillId="37" borderId="21" xfId="57" applyNumberFormat="1" applyFont="1" applyFill="1" applyBorder="1" applyAlignment="1">
      <alignment horizontal="center" vertical="center"/>
      <protection/>
    </xf>
    <xf numFmtId="2" fontId="6" fillId="37" borderId="11" xfId="57" applyNumberFormat="1" applyFont="1" applyFill="1" applyBorder="1" applyAlignment="1">
      <alignment horizontal="center" vertical="center"/>
      <protection/>
    </xf>
    <xf numFmtId="2" fontId="6" fillId="37" borderId="21" xfId="57" applyNumberFormat="1" applyFont="1" applyFill="1" applyBorder="1" applyAlignment="1">
      <alignment horizontal="center" vertical="center"/>
      <protection/>
    </xf>
    <xf numFmtId="2" fontId="3" fillId="38" borderId="43" xfId="57" applyNumberFormat="1" applyFont="1" applyFill="1" applyBorder="1" applyAlignment="1">
      <alignment horizontal="center" vertical="center"/>
      <protection/>
    </xf>
    <xf numFmtId="2" fontId="3" fillId="38" borderId="21" xfId="57" applyNumberFormat="1" applyFont="1" applyFill="1" applyBorder="1" applyAlignment="1">
      <alignment horizontal="center" vertical="center"/>
      <protection/>
    </xf>
    <xf numFmtId="2" fontId="3" fillId="38" borderId="11" xfId="57" applyNumberFormat="1" applyFont="1" applyFill="1" applyBorder="1" applyAlignment="1">
      <alignment horizontal="center" vertical="center"/>
      <protection/>
    </xf>
    <xf numFmtId="0" fontId="7" fillId="38" borderId="10" xfId="57" applyFont="1" applyFill="1" applyBorder="1" applyAlignment="1">
      <alignment horizontal="center" vertical="center" wrapText="1"/>
      <protection/>
    </xf>
    <xf numFmtId="172" fontId="8" fillId="0" borderId="10" xfId="57" applyNumberFormat="1" applyFont="1" applyBorder="1" applyAlignment="1">
      <alignment horizontal="center" vertical="center"/>
      <protection/>
    </xf>
    <xf numFmtId="1" fontId="16" fillId="38" borderId="36" xfId="57" applyNumberFormat="1" applyFont="1" applyFill="1" applyBorder="1" applyAlignment="1">
      <alignment horizontal="center" vertical="center"/>
      <protection/>
    </xf>
    <xf numFmtId="1" fontId="16" fillId="38" borderId="38" xfId="57" applyNumberFormat="1" applyFont="1" applyFill="1" applyBorder="1" applyAlignment="1">
      <alignment horizontal="center" vertical="center"/>
      <protection/>
    </xf>
    <xf numFmtId="0" fontId="0" fillId="0" borderId="32" xfId="57" applyBorder="1" applyAlignment="1">
      <alignment horizontal="right"/>
      <protection/>
    </xf>
    <xf numFmtId="0" fontId="0" fillId="0" borderId="34" xfId="57" applyBorder="1" applyAlignment="1">
      <alignment horizontal="right"/>
      <protection/>
    </xf>
    <xf numFmtId="0" fontId="0" fillId="0" borderId="44" xfId="57" applyBorder="1" applyAlignment="1">
      <alignment horizontal="right"/>
      <protection/>
    </xf>
    <xf numFmtId="0" fontId="0" fillId="0" borderId="45" xfId="57" applyBorder="1" applyAlignment="1">
      <alignment horizontal="right"/>
      <protection/>
    </xf>
    <xf numFmtId="0" fontId="0" fillId="33" borderId="13" xfId="57" applyFill="1" applyBorder="1" applyAlignment="1">
      <alignment horizontal="center" wrapText="1"/>
      <protection/>
    </xf>
    <xf numFmtId="1" fontId="8" fillId="0" borderId="10" xfId="57" applyNumberFormat="1" applyFont="1" applyBorder="1" applyAlignment="1">
      <alignment horizontal="center" vertical="center"/>
      <protection/>
    </xf>
    <xf numFmtId="0" fontId="10" fillId="33" borderId="12" xfId="57" applyFont="1" applyFill="1" applyBorder="1" applyAlignment="1">
      <alignment horizontal="center" vertical="center" wrapText="1"/>
      <protection/>
    </xf>
    <xf numFmtId="0" fontId="10" fillId="33" borderId="31" xfId="57" applyFont="1" applyFill="1" applyBorder="1" applyAlignment="1">
      <alignment horizontal="center" vertical="center" wrapText="1"/>
      <protection/>
    </xf>
    <xf numFmtId="0" fontId="99" fillId="0" borderId="23" xfId="57" applyFont="1" applyFill="1" applyBorder="1" applyAlignment="1">
      <alignment horizontal="center" wrapText="1"/>
      <protection/>
    </xf>
    <xf numFmtId="0" fontId="99" fillId="0" borderId="38" xfId="57" applyFont="1" applyFill="1" applyBorder="1" applyAlignment="1">
      <alignment horizontal="center" wrapText="1"/>
      <protection/>
    </xf>
    <xf numFmtId="2" fontId="5" fillId="37" borderId="10" xfId="57" applyNumberFormat="1" applyFont="1" applyFill="1" applyBorder="1" applyAlignment="1">
      <alignment horizontal="center" vertical="center"/>
      <protection/>
    </xf>
    <xf numFmtId="2" fontId="8" fillId="0" borderId="10" xfId="57" applyNumberFormat="1" applyFont="1" applyBorder="1" applyAlignment="1">
      <alignment horizontal="center" vertical="center"/>
      <protection/>
    </xf>
    <xf numFmtId="0" fontId="0" fillId="33" borderId="22" xfId="57" applyFont="1" applyFill="1" applyBorder="1" applyAlignment="1">
      <alignment horizontal="center" wrapText="1"/>
      <protection/>
    </xf>
    <xf numFmtId="0" fontId="0" fillId="33" borderId="36" xfId="57" applyFont="1" applyFill="1" applyBorder="1" applyAlignment="1">
      <alignment horizontal="center" wrapText="1"/>
      <protection/>
    </xf>
    <xf numFmtId="0" fontId="2" fillId="33" borderId="14" xfId="57" applyFont="1" applyFill="1" applyBorder="1" applyAlignment="1">
      <alignment horizontal="center"/>
      <protection/>
    </xf>
    <xf numFmtId="2" fontId="88" fillId="0" borderId="10" xfId="57" applyNumberFormat="1" applyFont="1" applyBorder="1" applyAlignment="1">
      <alignment horizontal="center" vertical="center"/>
      <protection/>
    </xf>
    <xf numFmtId="173" fontId="88" fillId="0" borderId="10" xfId="57" applyNumberFormat="1" applyFont="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2.__Combining_Percent_and_Factor_Differences_in_Means" TargetMode="External" /><Relationship Id="rId2" Type="http://schemas.openxmlformats.org/officeDocument/2006/relationships/hyperlink" Target="_3.__Combining_Rate_Ratios_and_Other_Log_Normally_Distributed_Statistic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_2.__Combining_Percent_and_Factor_Differences_in_Means" TargetMode="External" /><Relationship Id="rId2" Type="http://schemas.openxmlformats.org/officeDocument/2006/relationships/hyperlink" Target="_3.__Combining_Rate_Ratios_and_Other_Log_Normally_Distributed_Statistics"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176"/>
  <sheetViews>
    <sheetView tabSelected="1" zoomScale="110" zoomScaleNormal="110" zoomScalePageLayoutView="0" workbookViewId="0" topLeftCell="A1">
      <selection activeCell="A1" sqref="A1"/>
    </sheetView>
  </sheetViews>
  <sheetFormatPr defaultColWidth="9.140625" defaultRowHeight="12.75"/>
  <cols>
    <col min="1" max="1" width="2.140625" style="0" customWidth="1"/>
    <col min="2" max="2" width="1.7109375" style="0" customWidth="1"/>
    <col min="3" max="4" width="8.421875" style="1" customWidth="1"/>
    <col min="5" max="5" width="8.00390625" style="1" customWidth="1"/>
    <col min="6" max="7" width="6.8515625" style="1" customWidth="1"/>
    <col min="8" max="8" width="8.28125" style="1" customWidth="1"/>
    <col min="9" max="9" width="7.28125" style="1" customWidth="1"/>
    <col min="10" max="10" width="7.8515625" style="1" customWidth="1"/>
    <col min="11" max="12" width="9.57421875" style="1" customWidth="1"/>
    <col min="13" max="13" width="8.8515625" style="1" customWidth="1"/>
    <col min="14" max="15" width="6.7109375" style="1" customWidth="1"/>
    <col min="16" max="16" width="6.8515625" style="2" customWidth="1"/>
    <col min="17" max="17" width="11.421875" style="2" customWidth="1"/>
    <col min="18" max="18" width="10.7109375" style="1" customWidth="1"/>
    <col min="19" max="24" width="7.7109375" style="1" customWidth="1"/>
    <col min="25" max="25" width="11.421875" style="0" customWidth="1"/>
    <col min="26" max="26" width="9.140625" style="29" customWidth="1"/>
  </cols>
  <sheetData>
    <row r="1" spans="2:21" s="1" customFormat="1" ht="9.75" customHeight="1" thickBot="1">
      <c r="B1" s="2"/>
      <c r="C1" s="2"/>
      <c r="D1" s="2"/>
      <c r="E1" s="2"/>
      <c r="F1" s="2"/>
      <c r="G1" s="2"/>
      <c r="H1" s="2"/>
      <c r="I1" s="2"/>
      <c r="J1" s="2"/>
      <c r="K1" s="2"/>
      <c r="L1" s="2"/>
      <c r="M1" s="2"/>
      <c r="N1" s="2"/>
      <c r="O1" s="2"/>
      <c r="P1" s="2"/>
      <c r="Q1" s="2"/>
      <c r="R1" s="2"/>
      <c r="S1" s="2"/>
      <c r="T1" s="2"/>
      <c r="U1" s="2"/>
    </row>
    <row r="2" spans="2:21" s="143" customFormat="1" ht="15.75" customHeight="1" thickBot="1">
      <c r="B2" s="160" t="s">
        <v>123</v>
      </c>
      <c r="C2" s="161"/>
      <c r="D2" s="161"/>
      <c r="E2" s="162"/>
      <c r="F2" s="162"/>
      <c r="G2" s="162"/>
      <c r="H2" s="162"/>
      <c r="I2" s="162"/>
      <c r="J2" s="162"/>
      <c r="K2" s="161"/>
      <c r="L2" s="161"/>
      <c r="M2" s="161"/>
      <c r="N2" s="161"/>
      <c r="O2" s="161"/>
      <c r="P2" s="161"/>
      <c r="Q2" s="161"/>
      <c r="R2" s="161"/>
      <c r="S2" s="161"/>
      <c r="T2" s="161"/>
      <c r="U2" s="163"/>
    </row>
    <row r="3" spans="2:21" s="144" customFormat="1" ht="12.75" customHeight="1">
      <c r="B3" s="464" t="s">
        <v>23</v>
      </c>
      <c r="C3" s="524"/>
      <c r="D3" s="524"/>
      <c r="E3" s="524"/>
      <c r="F3" s="145"/>
      <c r="G3" s="145"/>
      <c r="H3" s="145"/>
      <c r="I3" s="145"/>
      <c r="J3" s="145"/>
      <c r="U3" s="150"/>
    </row>
    <row r="4" spans="1:30" s="1" customFormat="1" ht="12.75" customHeight="1">
      <c r="A4" s="2"/>
      <c r="B4" s="464" t="s">
        <v>126</v>
      </c>
      <c r="C4" s="465"/>
      <c r="D4" s="465"/>
      <c r="E4" s="465"/>
      <c r="F4" s="187">
        <v>2022</v>
      </c>
      <c r="G4" s="187">
        <v>2020</v>
      </c>
      <c r="H4" s="187">
        <v>2019</v>
      </c>
      <c r="I4" s="187">
        <v>2018</v>
      </c>
      <c r="J4" s="187">
        <v>2012</v>
      </c>
      <c r="K4" s="188">
        <v>2007</v>
      </c>
      <c r="L4" s="2"/>
      <c r="M4" s="2"/>
      <c r="N4" s="2"/>
      <c r="O4" s="2"/>
      <c r="P4" s="2"/>
      <c r="Q4" s="2"/>
      <c r="R4" s="2"/>
      <c r="S4" s="2"/>
      <c r="T4" s="2"/>
      <c r="U4" s="43"/>
      <c r="Z4"/>
      <c r="AA4" s="29"/>
      <c r="AB4"/>
      <c r="AC4"/>
      <c r="AD4"/>
    </row>
    <row r="5" spans="1:21" s="1" customFormat="1" ht="11.25" customHeight="1" thickBot="1">
      <c r="A5" s="2"/>
      <c r="B5" s="176"/>
      <c r="C5" s="146"/>
      <c r="D5" s="146"/>
      <c r="E5" s="146"/>
      <c r="F5" s="146"/>
      <c r="G5" s="146"/>
      <c r="H5" s="146"/>
      <c r="I5" s="146"/>
      <c r="J5" s="146"/>
      <c r="K5" s="146"/>
      <c r="L5" s="146"/>
      <c r="M5" s="146"/>
      <c r="N5" s="146"/>
      <c r="O5" s="146"/>
      <c r="P5" s="146"/>
      <c r="Q5" s="146"/>
      <c r="R5" s="146"/>
      <c r="S5" s="146"/>
      <c r="T5" s="146"/>
      <c r="U5" s="156"/>
    </row>
    <row r="6" spans="1:21" s="1" customFormat="1" ht="12.75" customHeight="1">
      <c r="A6" s="2"/>
      <c r="B6" s="151" t="s">
        <v>79</v>
      </c>
      <c r="C6" s="147"/>
      <c r="D6" s="147"/>
      <c r="E6" s="147"/>
      <c r="F6" s="147"/>
      <c r="G6" s="147"/>
      <c r="H6" s="147"/>
      <c r="I6" s="147"/>
      <c r="J6" s="147"/>
      <c r="K6" s="147"/>
      <c r="L6" s="147"/>
      <c r="M6" s="147"/>
      <c r="N6" s="147"/>
      <c r="O6" s="147"/>
      <c r="P6" s="147"/>
      <c r="Q6" s="147"/>
      <c r="R6" s="147"/>
      <c r="S6" s="147"/>
      <c r="T6" s="147"/>
      <c r="U6" s="152"/>
    </row>
    <row r="7" spans="1:30" s="1" customFormat="1" ht="12.75" customHeight="1">
      <c r="A7" s="2"/>
      <c r="B7" s="141" t="s">
        <v>274</v>
      </c>
      <c r="C7" s="2"/>
      <c r="D7" s="2"/>
      <c r="E7" s="2"/>
      <c r="F7" s="2"/>
      <c r="G7" s="2"/>
      <c r="H7" s="2"/>
      <c r="I7" s="2"/>
      <c r="J7" s="2"/>
      <c r="K7" s="2"/>
      <c r="L7" s="2"/>
      <c r="M7" s="2"/>
      <c r="N7" s="2"/>
      <c r="O7" s="2"/>
      <c r="P7" s="2"/>
      <c r="Q7" s="2"/>
      <c r="R7" s="2"/>
      <c r="S7" s="2"/>
      <c r="T7" s="2"/>
      <c r="U7" s="43"/>
      <c r="Z7"/>
      <c r="AA7" s="29"/>
      <c r="AB7"/>
      <c r="AC7"/>
      <c r="AD7"/>
    </row>
    <row r="8" spans="1:30" s="1" customFormat="1" ht="12.75" customHeight="1">
      <c r="A8" s="2"/>
      <c r="B8" s="424" t="s">
        <v>251</v>
      </c>
      <c r="C8" s="2"/>
      <c r="D8" s="2"/>
      <c r="E8" s="2"/>
      <c r="F8" s="2"/>
      <c r="G8" s="2"/>
      <c r="H8" s="2"/>
      <c r="I8" s="2"/>
      <c r="J8" s="2"/>
      <c r="K8" s="2"/>
      <c r="L8" s="2"/>
      <c r="M8" s="2"/>
      <c r="N8" s="2"/>
      <c r="O8" s="2"/>
      <c r="P8" s="2"/>
      <c r="Q8" s="2"/>
      <c r="R8" s="2"/>
      <c r="S8" s="2"/>
      <c r="T8" s="2"/>
      <c r="U8" s="43"/>
      <c r="Z8"/>
      <c r="AA8" s="29"/>
      <c r="AB8"/>
      <c r="AC8"/>
      <c r="AD8"/>
    </row>
    <row r="9" spans="1:27" ht="12.75" customHeight="1">
      <c r="A9" s="21"/>
      <c r="B9" s="141" t="s">
        <v>55</v>
      </c>
      <c r="C9" s="2"/>
      <c r="D9" s="2"/>
      <c r="E9" s="2"/>
      <c r="F9" s="2"/>
      <c r="G9" s="2"/>
      <c r="H9" s="2"/>
      <c r="I9" s="2"/>
      <c r="J9" s="2"/>
      <c r="K9" s="2"/>
      <c r="L9" s="2"/>
      <c r="M9" s="2"/>
      <c r="N9" s="2"/>
      <c r="O9" s="2"/>
      <c r="R9" s="2"/>
      <c r="S9" s="2"/>
      <c r="T9" s="2"/>
      <c r="U9" s="43"/>
      <c r="Y9" s="1"/>
      <c r="Z9"/>
      <c r="AA9" s="29"/>
    </row>
    <row r="10" spans="1:30" s="1" customFormat="1" ht="12.75" customHeight="1">
      <c r="A10" s="2"/>
      <c r="B10" s="141" t="s">
        <v>54</v>
      </c>
      <c r="C10" s="2"/>
      <c r="D10" s="2"/>
      <c r="E10" s="2"/>
      <c r="F10" s="2"/>
      <c r="G10" s="2"/>
      <c r="H10" s="2"/>
      <c r="I10" s="2"/>
      <c r="J10" s="2"/>
      <c r="K10" s="2"/>
      <c r="L10" s="2"/>
      <c r="M10" s="2"/>
      <c r="N10" s="2"/>
      <c r="O10" s="2"/>
      <c r="P10" s="2"/>
      <c r="Q10" s="2"/>
      <c r="R10" s="2"/>
      <c r="S10" s="2"/>
      <c r="T10" s="2"/>
      <c r="U10" s="43"/>
      <c r="Z10"/>
      <c r="AA10" s="29"/>
      <c r="AB10"/>
      <c r="AC10"/>
      <c r="AD10"/>
    </row>
    <row r="11" spans="1:27" ht="12.75" customHeight="1">
      <c r="A11" s="21"/>
      <c r="B11" s="141" t="s">
        <v>283</v>
      </c>
      <c r="C11" s="2"/>
      <c r="D11" s="2"/>
      <c r="E11" s="2"/>
      <c r="F11" s="2"/>
      <c r="G11" s="2"/>
      <c r="H11" s="2"/>
      <c r="I11" s="2"/>
      <c r="J11" s="2"/>
      <c r="K11" s="2"/>
      <c r="L11" s="2"/>
      <c r="M11" s="2"/>
      <c r="N11" s="2"/>
      <c r="O11" s="2"/>
      <c r="R11" s="2"/>
      <c r="S11" s="2"/>
      <c r="T11" s="2"/>
      <c r="U11" s="43"/>
      <c r="Y11" s="1"/>
      <c r="Z11"/>
      <c r="AA11" s="29"/>
    </row>
    <row r="12" spans="1:27" ht="12.75" customHeight="1">
      <c r="A12" s="21"/>
      <c r="B12" s="141"/>
      <c r="C12" s="2" t="s">
        <v>284</v>
      </c>
      <c r="D12" s="2"/>
      <c r="E12" s="2"/>
      <c r="F12" s="2"/>
      <c r="G12" s="2"/>
      <c r="H12" s="2"/>
      <c r="I12" s="2"/>
      <c r="J12" s="2"/>
      <c r="K12" s="2"/>
      <c r="L12" s="2"/>
      <c r="M12" s="2"/>
      <c r="N12" s="2"/>
      <c r="O12" s="2"/>
      <c r="R12" s="2"/>
      <c r="S12" s="2"/>
      <c r="T12" s="2"/>
      <c r="U12" s="43"/>
      <c r="Y12" s="1"/>
      <c r="Z12"/>
      <c r="AA12" s="29"/>
    </row>
    <row r="13" spans="1:27" ht="12.75" customHeight="1">
      <c r="A13" s="21"/>
      <c r="B13" s="141"/>
      <c r="C13" s="2" t="s">
        <v>97</v>
      </c>
      <c r="D13" s="2"/>
      <c r="E13" s="2"/>
      <c r="F13" s="2"/>
      <c r="G13" s="2"/>
      <c r="H13" s="2"/>
      <c r="I13" s="2"/>
      <c r="J13" s="2"/>
      <c r="K13" s="2"/>
      <c r="L13" s="2"/>
      <c r="M13" s="2"/>
      <c r="N13" s="2"/>
      <c r="O13" s="2"/>
      <c r="R13" s="2"/>
      <c r="S13" s="2"/>
      <c r="T13" s="2"/>
      <c r="U13" s="43"/>
      <c r="Y13" s="1"/>
      <c r="Z13"/>
      <c r="AA13" s="29"/>
    </row>
    <row r="14" spans="1:27" ht="12.75" customHeight="1">
      <c r="A14" s="21"/>
      <c r="B14" s="153" t="s">
        <v>80</v>
      </c>
      <c r="C14" s="2"/>
      <c r="D14" s="2"/>
      <c r="E14" s="2"/>
      <c r="F14" s="2"/>
      <c r="G14" s="2"/>
      <c r="H14" s="2"/>
      <c r="I14" s="2"/>
      <c r="J14" s="2"/>
      <c r="K14" s="2"/>
      <c r="L14" s="2"/>
      <c r="M14" s="2"/>
      <c r="N14" s="2"/>
      <c r="O14" s="2"/>
      <c r="R14" s="2"/>
      <c r="S14" s="2"/>
      <c r="T14" s="2"/>
      <c r="U14" s="43"/>
      <c r="Y14" s="1"/>
      <c r="Z14"/>
      <c r="AA14" s="29"/>
    </row>
    <row r="15" spans="1:27" ht="12.75" customHeight="1">
      <c r="A15" s="21"/>
      <c r="B15" s="442" t="s">
        <v>24</v>
      </c>
      <c r="C15" s="443"/>
      <c r="D15" s="443"/>
      <c r="E15" s="443"/>
      <c r="F15" s="443"/>
      <c r="G15" s="443"/>
      <c r="H15" s="443"/>
      <c r="I15" s="443"/>
      <c r="J15" s="443"/>
      <c r="K15" s="443"/>
      <c r="L15" s="2"/>
      <c r="M15" s="2"/>
      <c r="N15" s="2"/>
      <c r="O15" s="2"/>
      <c r="R15" s="2"/>
      <c r="S15" s="2"/>
      <c r="T15" s="2"/>
      <c r="U15" s="43"/>
      <c r="Y15" s="1"/>
      <c r="Z15"/>
      <c r="AA15" s="29"/>
    </row>
    <row r="16" spans="1:27" ht="12.75" customHeight="1">
      <c r="A16" s="21"/>
      <c r="B16" s="442" t="s">
        <v>45</v>
      </c>
      <c r="C16" s="443"/>
      <c r="D16" s="443"/>
      <c r="E16" s="443"/>
      <c r="F16" s="443"/>
      <c r="G16" s="443"/>
      <c r="H16" s="158"/>
      <c r="I16" s="158"/>
      <c r="J16" s="158"/>
      <c r="K16" s="2"/>
      <c r="L16" s="2"/>
      <c r="M16" s="2"/>
      <c r="N16" s="2"/>
      <c r="O16" s="2"/>
      <c r="R16" s="2"/>
      <c r="S16" s="2"/>
      <c r="T16" s="2"/>
      <c r="U16" s="43"/>
      <c r="Y16" s="1"/>
      <c r="Z16"/>
      <c r="AA16" s="29"/>
    </row>
    <row r="17" spans="1:27" ht="12.75" customHeight="1">
      <c r="A17" s="21"/>
      <c r="B17" s="442" t="s">
        <v>129</v>
      </c>
      <c r="C17" s="443"/>
      <c r="D17" s="443"/>
      <c r="E17" s="443"/>
      <c r="F17" s="443"/>
      <c r="G17" s="443"/>
      <c r="H17" s="443"/>
      <c r="I17" s="443"/>
      <c r="J17" s="443"/>
      <c r="K17" s="443"/>
      <c r="L17" s="443"/>
      <c r="M17" s="443"/>
      <c r="N17" s="2"/>
      <c r="O17" s="2"/>
      <c r="R17" s="2"/>
      <c r="S17" s="2"/>
      <c r="T17" s="2"/>
      <c r="U17" s="43"/>
      <c r="Y17" s="1"/>
      <c r="Z17"/>
      <c r="AA17" s="29"/>
    </row>
    <row r="18" spans="1:27" ht="12.75" customHeight="1">
      <c r="A18" s="125"/>
      <c r="B18" s="522" t="s">
        <v>25</v>
      </c>
      <c r="C18" s="523"/>
      <c r="D18" s="523"/>
      <c r="E18" s="523"/>
      <c r="F18" s="158"/>
      <c r="G18" s="158"/>
      <c r="H18" s="158"/>
      <c r="I18" s="158"/>
      <c r="J18" s="2"/>
      <c r="K18" s="2"/>
      <c r="L18" s="2"/>
      <c r="M18" s="2"/>
      <c r="N18" s="2"/>
      <c r="O18" s="2"/>
      <c r="R18" s="2"/>
      <c r="S18" s="2"/>
      <c r="T18" s="2"/>
      <c r="U18" s="43"/>
      <c r="Y18" s="1"/>
      <c r="Z18"/>
      <c r="AA18" s="29"/>
    </row>
    <row r="19" spans="1:27" ht="12.75" customHeight="1">
      <c r="A19" s="21"/>
      <c r="B19" s="141" t="s">
        <v>26</v>
      </c>
      <c r="C19" s="2"/>
      <c r="D19" s="14"/>
      <c r="E19" s="14"/>
      <c r="F19" s="14"/>
      <c r="G19" s="14"/>
      <c r="H19" s="14"/>
      <c r="I19" s="14"/>
      <c r="J19" s="14"/>
      <c r="K19" s="14"/>
      <c r="L19" s="18"/>
      <c r="M19" s="14"/>
      <c r="N19" s="14"/>
      <c r="O19" s="14"/>
      <c r="P19" s="14"/>
      <c r="Q19" s="14"/>
      <c r="R19" s="14"/>
      <c r="S19" s="14"/>
      <c r="T19" s="14"/>
      <c r="U19" s="54"/>
      <c r="V19" s="13"/>
      <c r="W19" s="13"/>
      <c r="X19" s="13"/>
      <c r="Y19" s="13"/>
      <c r="Z19"/>
      <c r="AA19" s="29"/>
    </row>
    <row r="20" spans="1:27" ht="12.75" customHeight="1">
      <c r="A20" s="21"/>
      <c r="B20" s="154" t="s">
        <v>27</v>
      </c>
      <c r="C20" s="2"/>
      <c r="D20" s="2"/>
      <c r="E20" s="2"/>
      <c r="F20" s="2"/>
      <c r="G20" s="2"/>
      <c r="H20" s="2"/>
      <c r="I20" s="2"/>
      <c r="J20" s="2"/>
      <c r="K20" s="2"/>
      <c r="L20" s="2"/>
      <c r="M20" s="2"/>
      <c r="N20" s="2"/>
      <c r="O20" s="2"/>
      <c r="R20" s="2"/>
      <c r="S20" s="2"/>
      <c r="T20" s="2"/>
      <c r="U20" s="43"/>
      <c r="Y20" s="1"/>
      <c r="Z20"/>
      <c r="AA20" s="29"/>
    </row>
    <row r="21" spans="1:27" ht="12.75" customHeight="1">
      <c r="A21" s="21"/>
      <c r="B21" s="141" t="s">
        <v>295</v>
      </c>
      <c r="C21" s="2"/>
      <c r="D21" s="2"/>
      <c r="E21" s="2"/>
      <c r="F21" s="2"/>
      <c r="G21" s="2"/>
      <c r="H21" s="2"/>
      <c r="I21" s="2"/>
      <c r="J21" s="2"/>
      <c r="K21" s="2"/>
      <c r="L21" s="2"/>
      <c r="M21" s="2"/>
      <c r="N21" s="2"/>
      <c r="O21" s="2"/>
      <c r="R21" s="2"/>
      <c r="S21" s="2"/>
      <c r="T21" s="2"/>
      <c r="U21" s="43"/>
      <c r="Y21" s="1"/>
      <c r="Z21"/>
      <c r="AA21" s="29"/>
    </row>
    <row r="22" spans="1:27" ht="12.75" customHeight="1">
      <c r="A22" s="21"/>
      <c r="B22" s="198" t="s">
        <v>186</v>
      </c>
      <c r="C22" s="2"/>
      <c r="D22" s="2"/>
      <c r="E22" s="2"/>
      <c r="F22" s="2"/>
      <c r="G22" s="2"/>
      <c r="H22" s="2"/>
      <c r="I22" s="2"/>
      <c r="J22" s="2"/>
      <c r="K22" s="2"/>
      <c r="L22" s="2"/>
      <c r="M22" s="2"/>
      <c r="N22" s="2"/>
      <c r="O22" s="2"/>
      <c r="R22" s="2"/>
      <c r="S22" s="2"/>
      <c r="T22" s="2"/>
      <c r="U22" s="43"/>
      <c r="Y22" s="1"/>
      <c r="Z22"/>
      <c r="AA22" s="29"/>
    </row>
    <row r="23" spans="1:27" ht="12.75" customHeight="1" thickBot="1">
      <c r="A23" s="21"/>
      <c r="B23" s="157"/>
      <c r="C23" s="146"/>
      <c r="D23" s="146"/>
      <c r="E23" s="146"/>
      <c r="F23" s="146"/>
      <c r="G23" s="146"/>
      <c r="H23" s="146"/>
      <c r="I23" s="146"/>
      <c r="J23" s="146"/>
      <c r="K23" s="146"/>
      <c r="L23" s="146"/>
      <c r="M23" s="146"/>
      <c r="N23" s="146"/>
      <c r="O23" s="146"/>
      <c r="P23" s="146"/>
      <c r="Q23" s="146"/>
      <c r="R23" s="146"/>
      <c r="S23" s="146"/>
      <c r="T23" s="146"/>
      <c r="U23" s="156"/>
      <c r="Y23" s="1"/>
      <c r="Z23"/>
      <c r="AA23" s="29"/>
    </row>
    <row r="24" spans="1:21" s="1" customFormat="1" ht="12.75" customHeight="1" thickBot="1">
      <c r="A24" s="2"/>
      <c r="B24" s="142" t="s">
        <v>260</v>
      </c>
      <c r="C24" s="174"/>
      <c r="D24" s="174"/>
      <c r="E24" s="174"/>
      <c r="F24" s="174"/>
      <c r="G24" s="174"/>
      <c r="H24" s="174"/>
      <c r="I24" s="174"/>
      <c r="J24" s="174"/>
      <c r="K24" s="174"/>
      <c r="L24" s="174"/>
      <c r="M24" s="174"/>
      <c r="N24" s="174"/>
      <c r="O24" s="174"/>
      <c r="P24" s="174"/>
      <c r="Q24" s="174"/>
      <c r="R24" s="174"/>
      <c r="S24" s="174"/>
      <c r="T24" s="174"/>
      <c r="U24" s="175"/>
    </row>
    <row r="25" spans="2:21" s="1" customFormat="1" ht="12.75">
      <c r="B25" s="438" t="s">
        <v>77</v>
      </c>
      <c r="C25" s="439"/>
      <c r="D25" s="439"/>
      <c r="E25" s="439"/>
      <c r="F25" s="439"/>
      <c r="G25" s="439"/>
      <c r="H25" s="439"/>
      <c r="I25" s="439"/>
      <c r="J25" s="439"/>
      <c r="K25" s="439"/>
      <c r="L25" s="439"/>
      <c r="M25" s="439"/>
      <c r="N25" s="439"/>
      <c r="O25" s="439"/>
      <c r="P25" s="439"/>
      <c r="Q25" s="439"/>
      <c r="R25" s="439"/>
      <c r="S25" s="439"/>
      <c r="T25" s="439"/>
      <c r="U25" s="440"/>
    </row>
    <row r="26" spans="2:21" s="1" customFormat="1" ht="12.75">
      <c r="B26" s="141" t="s">
        <v>78</v>
      </c>
      <c r="C26" s="2"/>
      <c r="D26" s="2"/>
      <c r="E26" s="2"/>
      <c r="F26" s="2"/>
      <c r="G26" s="2"/>
      <c r="H26" s="2"/>
      <c r="I26" s="2"/>
      <c r="J26" s="2"/>
      <c r="K26" s="2"/>
      <c r="L26" s="2"/>
      <c r="M26" s="2"/>
      <c r="N26" s="2"/>
      <c r="O26" s="2"/>
      <c r="P26" s="2"/>
      <c r="Q26" s="2"/>
      <c r="R26" s="2"/>
      <c r="S26" s="2"/>
      <c r="T26" s="2"/>
      <c r="U26" s="43"/>
    </row>
    <row r="27" spans="2:21" s="1" customFormat="1" ht="12.75">
      <c r="B27" s="141"/>
      <c r="C27" s="427" t="str">
        <f>"Non-clinically unclear: &gt;"&amp;$G$36&amp;"% chance that the true value is substantially positive (or higher, for rate ratios) and &gt;"&amp;$G$36&amp;"% chance it is negative (lower)."</f>
        <v>Non-clinically unclear: &gt;5% chance that the true value is substantially positive (or higher, for rate ratios) and &gt;5% chance it is negative (lower).</v>
      </c>
      <c r="D27" s="2"/>
      <c r="E27" s="2"/>
      <c r="F27" s="2"/>
      <c r="G27" s="2"/>
      <c r="H27" s="2"/>
      <c r="I27" s="2"/>
      <c r="J27" s="2"/>
      <c r="K27" s="2"/>
      <c r="L27" s="2"/>
      <c r="M27" s="2"/>
      <c r="N27" s="2"/>
      <c r="O27" s="2"/>
      <c r="P27" s="2"/>
      <c r="Q27" s="2"/>
      <c r="R27" s="2"/>
      <c r="S27" s="2"/>
      <c r="T27" s="2"/>
      <c r="U27" s="43"/>
    </row>
    <row r="28" spans="2:21" s="1" customFormat="1" ht="12.75">
      <c r="B28" s="141"/>
      <c r="C28" s="41" t="s">
        <v>261</v>
      </c>
      <c r="D28" s="2"/>
      <c r="E28" s="2"/>
      <c r="F28" s="2"/>
      <c r="G28" s="2"/>
      <c r="H28" s="2"/>
      <c r="I28" s="2"/>
      <c r="J28" s="2"/>
      <c r="K28" s="2"/>
      <c r="L28" s="2"/>
      <c r="M28" s="2"/>
      <c r="N28" s="2"/>
      <c r="O28" s="2"/>
      <c r="P28" s="2"/>
      <c r="Q28" s="2"/>
      <c r="R28" s="2"/>
      <c r="S28" s="2"/>
      <c r="T28" s="2"/>
      <c r="U28" s="43"/>
    </row>
    <row r="29" spans="2:21" s="1" customFormat="1" ht="12.75">
      <c r="B29" s="141"/>
      <c r="C29" s="427" t="str">
        <f>"Clinically unclear: &gt;"&amp;$I$36&amp;"% chance that the true value is beneficial, and &gt;"&amp;$E$36&amp;" chance that it is harmful."</f>
        <v>Clinically unclear: &gt;25% chance that the true value is beneficial, and &gt;0.5 chance that it is harmful.</v>
      </c>
      <c r="D29" s="2"/>
      <c r="E29" s="2"/>
      <c r="F29" s="2"/>
      <c r="G29" s="2"/>
      <c r="H29" s="2"/>
      <c r="I29" s="2"/>
      <c r="J29" s="2"/>
      <c r="K29" s="2"/>
      <c r="L29" s="2"/>
      <c r="M29" s="2"/>
      <c r="N29" s="2"/>
      <c r="O29" s="2"/>
      <c r="P29" s="2"/>
      <c r="Q29" s="2"/>
      <c r="R29" s="2"/>
      <c r="S29" s="2"/>
      <c r="T29" s="2"/>
      <c r="U29" s="43"/>
    </row>
    <row r="30" spans="2:21" s="1" customFormat="1" ht="12.75">
      <c r="B30" s="141"/>
      <c r="C30" s="41" t="s">
        <v>262</v>
      </c>
      <c r="D30" s="2"/>
      <c r="E30" s="2"/>
      <c r="F30" s="2"/>
      <c r="G30" s="2"/>
      <c r="H30" s="2"/>
      <c r="I30" s="2"/>
      <c r="J30" s="2"/>
      <c r="K30" s="2"/>
      <c r="L30" s="2"/>
      <c r="M30" s="2"/>
      <c r="N30" s="2"/>
      <c r="O30" s="2"/>
      <c r="P30" s="2"/>
      <c r="Q30" s="2"/>
      <c r="R30" s="2"/>
      <c r="S30" s="2"/>
      <c r="T30" s="2"/>
      <c r="U30" s="43"/>
    </row>
    <row r="31" spans="2:21" s="1" customFormat="1" ht="12.75">
      <c r="B31" s="140" t="s">
        <v>263</v>
      </c>
      <c r="C31" s="2"/>
      <c r="D31" s="2"/>
      <c r="E31" s="2"/>
      <c r="F31" s="2"/>
      <c r="G31" s="2"/>
      <c r="H31" s="2"/>
      <c r="I31" s="2"/>
      <c r="J31" s="2"/>
      <c r="K31" s="2"/>
      <c r="L31" s="2"/>
      <c r="M31" s="2"/>
      <c r="N31" s="2"/>
      <c r="O31" s="2"/>
      <c r="P31" s="2"/>
      <c r="Q31" s="2"/>
      <c r="R31" s="2"/>
      <c r="S31" s="2"/>
      <c r="T31" s="2"/>
      <c r="U31" s="43"/>
    </row>
    <row r="32" spans="2:21" s="1" customFormat="1" ht="12.75">
      <c r="B32" s="140"/>
      <c r="C32" s="2" t="s">
        <v>264</v>
      </c>
      <c r="D32" s="2"/>
      <c r="E32" s="2"/>
      <c r="F32" s="2"/>
      <c r="G32" s="2"/>
      <c r="H32" s="2"/>
      <c r="I32" s="2"/>
      <c r="J32" s="2"/>
      <c r="K32" s="2"/>
      <c r="L32" s="2"/>
      <c r="M32" s="2"/>
      <c r="N32" s="2"/>
      <c r="O32" s="2"/>
      <c r="P32" s="2"/>
      <c r="Q32" s="2"/>
      <c r="R32" s="2"/>
      <c r="S32" s="2"/>
      <c r="T32" s="2"/>
      <c r="U32" s="43"/>
    </row>
    <row r="33" spans="2:21" s="1" customFormat="1" ht="12.75">
      <c r="B33" s="140" t="s">
        <v>265</v>
      </c>
      <c r="C33" s="2"/>
      <c r="D33" s="2"/>
      <c r="E33" s="2"/>
      <c r="F33" s="2"/>
      <c r="G33" s="2"/>
      <c r="H33" s="2"/>
      <c r="I33" s="2"/>
      <c r="J33" s="2"/>
      <c r="K33" s="2"/>
      <c r="L33" s="2"/>
      <c r="M33" s="2"/>
      <c r="N33" s="2"/>
      <c r="O33" s="2"/>
      <c r="P33" s="2"/>
      <c r="Q33" s="2"/>
      <c r="R33" s="2"/>
      <c r="S33" s="2"/>
      <c r="T33" s="2"/>
      <c r="U33" s="43"/>
    </row>
    <row r="34" spans="2:21" s="1" customFormat="1" ht="12.75">
      <c r="B34" s="140" t="s">
        <v>266</v>
      </c>
      <c r="C34" s="2"/>
      <c r="D34" s="2"/>
      <c r="E34" s="2"/>
      <c r="F34" s="2"/>
      <c r="G34" s="2"/>
      <c r="H34" s="2"/>
      <c r="I34" s="2"/>
      <c r="J34" s="2"/>
      <c r="K34" s="2"/>
      <c r="L34" s="2"/>
      <c r="M34" s="2"/>
      <c r="N34" s="2"/>
      <c r="O34" s="2"/>
      <c r="P34" s="2"/>
      <c r="Q34" s="2"/>
      <c r="R34" s="2"/>
      <c r="S34" s="2"/>
      <c r="T34" s="2"/>
      <c r="U34" s="43"/>
    </row>
    <row r="35" spans="1:21" s="1" customFormat="1" ht="6" customHeight="1">
      <c r="A35" s="2"/>
      <c r="B35" s="140"/>
      <c r="C35" s="2"/>
      <c r="D35" s="2"/>
      <c r="E35" s="2"/>
      <c r="F35" s="2"/>
      <c r="G35" s="2"/>
      <c r="H35" s="2"/>
      <c r="I35" s="2"/>
      <c r="J35" s="2"/>
      <c r="K35" s="2"/>
      <c r="L35" s="2"/>
      <c r="M35" s="2"/>
      <c r="N35" s="2"/>
      <c r="O35" s="2"/>
      <c r="P35" s="2"/>
      <c r="Q35" s="2"/>
      <c r="R35" s="2"/>
      <c r="S35" s="2"/>
      <c r="T35" s="2"/>
      <c r="U35" s="43"/>
    </row>
    <row r="36" spans="1:27" ht="27.75" customHeight="1">
      <c r="A36" s="21"/>
      <c r="B36" s="42"/>
      <c r="C36" s="77">
        <v>0</v>
      </c>
      <c r="D36" s="130" t="s">
        <v>56</v>
      </c>
      <c r="E36" s="79">
        <v>0.5</v>
      </c>
      <c r="F36" s="130" t="s">
        <v>57</v>
      </c>
      <c r="G36" s="79">
        <v>5</v>
      </c>
      <c r="H36" s="130" t="s">
        <v>58</v>
      </c>
      <c r="I36" s="79">
        <v>25</v>
      </c>
      <c r="J36" s="130" t="s">
        <v>59</v>
      </c>
      <c r="K36" s="80">
        <f>100-I36</f>
        <v>75</v>
      </c>
      <c r="L36" s="130" t="s">
        <v>60</v>
      </c>
      <c r="M36" s="80">
        <f>100-G36</f>
        <v>95</v>
      </c>
      <c r="N36" s="130" t="s">
        <v>61</v>
      </c>
      <c r="O36" s="80">
        <f>100-E36</f>
        <v>99.5</v>
      </c>
      <c r="P36" s="130" t="s">
        <v>62</v>
      </c>
      <c r="Q36" s="81">
        <v>100</v>
      </c>
      <c r="R36" s="2"/>
      <c r="S36" s="2"/>
      <c r="T36" s="2"/>
      <c r="U36" s="43"/>
      <c r="Y36" s="1"/>
      <c r="Z36"/>
      <c r="AA36" s="29"/>
    </row>
    <row r="37" spans="1:27" ht="7.5" customHeight="1">
      <c r="A37" s="21"/>
      <c r="B37" s="42"/>
      <c r="C37" s="131"/>
      <c r="D37" s="131"/>
      <c r="E37" s="132"/>
      <c r="F37" s="131"/>
      <c r="G37" s="132"/>
      <c r="H37" s="131"/>
      <c r="I37" s="132"/>
      <c r="J37" s="131"/>
      <c r="K37" s="133"/>
      <c r="L37" s="131"/>
      <c r="M37" s="133"/>
      <c r="N37" s="131"/>
      <c r="O37" s="133"/>
      <c r="P37" s="131"/>
      <c r="Q37" s="131"/>
      <c r="R37" s="2"/>
      <c r="S37" s="2"/>
      <c r="T37" s="2"/>
      <c r="U37" s="43"/>
      <c r="Y37" s="1"/>
      <c r="Z37"/>
      <c r="AA37" s="29"/>
    </row>
    <row r="38" spans="1:22" s="134" customFormat="1" ht="12.75" customHeight="1">
      <c r="A38" s="138"/>
      <c r="B38" s="135"/>
      <c r="C38" s="136" t="s">
        <v>75</v>
      </c>
      <c r="D38" s="131"/>
      <c r="E38" s="131"/>
      <c r="F38" s="137"/>
      <c r="G38" s="131"/>
      <c r="H38" s="137"/>
      <c r="I38" s="131"/>
      <c r="J38" s="137"/>
      <c r="K38" s="131"/>
      <c r="L38" s="133"/>
      <c r="M38" s="131"/>
      <c r="N38" s="133"/>
      <c r="O38" s="131"/>
      <c r="P38" s="133"/>
      <c r="Q38" s="131"/>
      <c r="R38" s="138"/>
      <c r="S38" s="138"/>
      <c r="T38" s="138"/>
      <c r="U38" s="139"/>
      <c r="V38" s="138"/>
    </row>
    <row r="39" spans="1:21" s="1" customFormat="1" ht="12.75" customHeight="1">
      <c r="A39" s="2"/>
      <c r="B39" s="140"/>
      <c r="C39" s="2" t="s">
        <v>188</v>
      </c>
      <c r="D39" s="2"/>
      <c r="E39" s="2"/>
      <c r="F39" s="2"/>
      <c r="G39" s="2"/>
      <c r="H39" s="2"/>
      <c r="I39" s="2"/>
      <c r="J39" s="2"/>
      <c r="K39" s="2"/>
      <c r="L39" s="2"/>
      <c r="M39" s="2"/>
      <c r="N39" s="2"/>
      <c r="O39" s="2"/>
      <c r="P39" s="2"/>
      <c r="Q39" s="2"/>
      <c r="R39" s="2"/>
      <c r="S39" s="2"/>
      <c r="T39" s="2"/>
      <c r="U39" s="43"/>
    </row>
    <row r="40" spans="1:21" s="1" customFormat="1" ht="12.75" customHeight="1">
      <c r="A40" s="2"/>
      <c r="B40" s="140"/>
      <c r="C40" s="41" t="s">
        <v>267</v>
      </c>
      <c r="D40" s="2"/>
      <c r="E40" s="2"/>
      <c r="F40" s="2"/>
      <c r="G40" s="2"/>
      <c r="H40" s="2"/>
      <c r="I40" s="2"/>
      <c r="J40" s="2"/>
      <c r="K40" s="2"/>
      <c r="L40" s="2"/>
      <c r="M40" s="2"/>
      <c r="N40" s="2"/>
      <c r="O40" s="2"/>
      <c r="P40" s="2"/>
      <c r="Q40" s="2"/>
      <c r="R40" s="2"/>
      <c r="S40" s="2"/>
      <c r="T40" s="2"/>
      <c r="U40" s="43"/>
    </row>
    <row r="41" spans="1:21" s="1" customFormat="1" ht="12.75" customHeight="1">
      <c r="A41" s="2"/>
      <c r="B41" s="141"/>
      <c r="C41" s="41" t="s">
        <v>268</v>
      </c>
      <c r="D41" s="2"/>
      <c r="E41" s="2"/>
      <c r="F41" s="2"/>
      <c r="G41" s="2"/>
      <c r="H41" s="2"/>
      <c r="I41" s="2"/>
      <c r="J41" s="2"/>
      <c r="K41" s="2"/>
      <c r="L41" s="2"/>
      <c r="M41" s="2"/>
      <c r="N41" s="2"/>
      <c r="O41" s="2"/>
      <c r="P41" s="2"/>
      <c r="Q41" s="2"/>
      <c r="R41" s="2"/>
      <c r="S41" s="2"/>
      <c r="T41" s="2"/>
      <c r="U41" s="43"/>
    </row>
    <row r="42" spans="1:21" s="1" customFormat="1" ht="12.75" customHeight="1">
      <c r="A42" s="2"/>
      <c r="B42" s="141"/>
      <c r="C42" s="41" t="str">
        <f>"   If the odds ratio of benefit/harm is &gt;"&amp;ROUND(I36/K36/(E36/O36),1)&amp;", an effect with the chance of benefit &lt;"&amp;I36&amp;"% or the risk of harm &gt;"&amp;E36&amp;"% is shown as potentially implementable."</f>
        <v>   If the odds ratio of benefit/harm is &gt;66.3, an effect with the chance of benefit &lt;25% or the risk of harm &gt;0.5% is shown as potentially implementable.</v>
      </c>
      <c r="D42" s="2"/>
      <c r="E42" s="2"/>
      <c r="F42" s="2"/>
      <c r="G42" s="2"/>
      <c r="H42" s="2"/>
      <c r="I42" s="2"/>
      <c r="J42" s="2"/>
      <c r="K42" s="2"/>
      <c r="L42" s="2"/>
      <c r="M42" s="2"/>
      <c r="N42" s="2"/>
      <c r="O42" s="2"/>
      <c r="P42" s="2"/>
      <c r="Q42" s="2"/>
      <c r="R42" s="2"/>
      <c r="S42" s="2"/>
      <c r="T42" s="2"/>
      <c r="U42" s="43"/>
    </row>
    <row r="43" spans="1:21" s="1" customFormat="1" ht="12.75" customHeight="1">
      <c r="A43" s="2"/>
      <c r="B43" s="141"/>
      <c r="C43" s="2" t="str">
        <f>"   The odds ratio of "&amp;ROUND(I36/K36/(E36/O36),1)&amp;" is derived from the limiting case of "&amp;ROUND($I$36,1)&amp;"% chance of benefit and "&amp;ROUND($E$36,2)&amp;"% risk of harm."</f>
        <v>   The odds ratio of 66.3 is derived from the limiting case of 25% chance of benefit and 0.5% risk of harm.</v>
      </c>
      <c r="D43" s="2"/>
      <c r="E43" s="2"/>
      <c r="F43" s="2"/>
      <c r="G43" s="2"/>
      <c r="H43" s="2"/>
      <c r="I43" s="2"/>
      <c r="J43" s="2"/>
      <c r="K43" s="2"/>
      <c r="L43" s="2"/>
      <c r="M43" s="2"/>
      <c r="N43" s="2"/>
      <c r="O43" s="2"/>
      <c r="P43" s="2"/>
      <c r="Q43" s="2"/>
      <c r="R43" s="2"/>
      <c r="S43" s="2"/>
      <c r="T43" s="2"/>
      <c r="U43" s="43"/>
    </row>
    <row r="44" spans="1:21" s="1" customFormat="1" ht="12.75" customHeight="1">
      <c r="A44" s="2"/>
      <c r="B44" s="141"/>
      <c r="C44" s="41" t="s">
        <v>259</v>
      </c>
      <c r="D44" s="2"/>
      <c r="E44" s="2"/>
      <c r="F44" s="2"/>
      <c r="G44" s="2"/>
      <c r="H44" s="2"/>
      <c r="I44" s="2"/>
      <c r="J44" s="2"/>
      <c r="K44" s="2"/>
      <c r="L44" s="2"/>
      <c r="M44" s="2"/>
      <c r="N44" s="2"/>
      <c r="O44" s="2"/>
      <c r="P44" s="2"/>
      <c r="Q44" s="2"/>
      <c r="R44" s="2"/>
      <c r="S44" s="2"/>
      <c r="T44" s="2"/>
      <c r="U44" s="43"/>
    </row>
    <row r="45" spans="1:21" s="1" customFormat="1" ht="12.75" customHeight="1">
      <c r="A45" s="2"/>
      <c r="B45" s="141" t="s">
        <v>139</v>
      </c>
      <c r="C45" s="2"/>
      <c r="D45" s="2"/>
      <c r="E45" s="2"/>
      <c r="F45" s="2"/>
      <c r="G45" s="2"/>
      <c r="H45" s="2"/>
      <c r="I45" s="2"/>
      <c r="J45" s="2"/>
      <c r="K45" s="2"/>
      <c r="L45" s="2"/>
      <c r="M45" s="2"/>
      <c r="N45" s="2"/>
      <c r="O45" s="2"/>
      <c r="P45" s="2"/>
      <c r="Q45" s="2"/>
      <c r="R45" s="2"/>
      <c r="S45" s="2"/>
      <c r="T45" s="2"/>
      <c r="U45" s="43"/>
    </row>
    <row r="46" spans="1:21" s="1" customFormat="1" ht="12.75" customHeight="1">
      <c r="A46" s="2"/>
      <c r="B46" s="141"/>
      <c r="C46" s="2" t="s">
        <v>76</v>
      </c>
      <c r="D46" s="2"/>
      <c r="E46" s="2"/>
      <c r="F46" s="2"/>
      <c r="G46" s="2"/>
      <c r="H46" s="2"/>
      <c r="I46" s="2"/>
      <c r="J46" s="2"/>
      <c r="K46" s="2"/>
      <c r="L46" s="2"/>
      <c r="M46" s="2"/>
      <c r="N46" s="2"/>
      <c r="O46" s="2"/>
      <c r="P46" s="2"/>
      <c r="Q46" s="2"/>
      <c r="R46" s="2"/>
      <c r="S46" s="2"/>
      <c r="T46" s="2"/>
      <c r="U46" s="43"/>
    </row>
    <row r="47" spans="1:21" s="1" customFormat="1" ht="12.75" customHeight="1">
      <c r="A47" s="2"/>
      <c r="B47" s="141"/>
      <c r="C47" s="2" t="s">
        <v>127</v>
      </c>
      <c r="D47" s="2"/>
      <c r="E47" s="2"/>
      <c r="F47" s="2"/>
      <c r="G47" s="2"/>
      <c r="H47" s="2"/>
      <c r="I47" s="2"/>
      <c r="J47" s="2"/>
      <c r="K47" s="2"/>
      <c r="L47" s="2"/>
      <c r="M47" s="2"/>
      <c r="N47" s="2"/>
      <c r="O47" s="2"/>
      <c r="P47" s="2"/>
      <c r="Q47" s="2"/>
      <c r="R47" s="2"/>
      <c r="S47" s="2"/>
      <c r="T47" s="2"/>
      <c r="U47" s="43"/>
    </row>
    <row r="48" spans="1:21" s="1" customFormat="1" ht="12.75" customHeight="1">
      <c r="A48" s="2"/>
      <c r="B48" s="141"/>
      <c r="C48" s="41" t="s">
        <v>189</v>
      </c>
      <c r="D48" s="2"/>
      <c r="E48" s="2"/>
      <c r="F48" s="2"/>
      <c r="G48" s="2"/>
      <c r="H48" s="2"/>
      <c r="I48" s="2"/>
      <c r="J48" s="2"/>
      <c r="K48" s="2"/>
      <c r="L48" s="2"/>
      <c r="M48" s="2"/>
      <c r="N48" s="2"/>
      <c r="O48" s="2"/>
      <c r="P48" s="2"/>
      <c r="Q48" s="2"/>
      <c r="R48" s="2"/>
      <c r="S48" s="2"/>
      <c r="T48" s="2"/>
      <c r="U48" s="43"/>
    </row>
    <row r="49" spans="1:21" s="1" customFormat="1" ht="12.75" customHeight="1">
      <c r="A49" s="2"/>
      <c r="B49" s="141"/>
      <c r="C49" s="41" t="s">
        <v>215</v>
      </c>
      <c r="D49" s="2"/>
      <c r="E49" s="2"/>
      <c r="F49" s="2"/>
      <c r="G49" s="2"/>
      <c r="H49" s="2"/>
      <c r="I49" s="2"/>
      <c r="J49" s="2"/>
      <c r="K49" s="2"/>
      <c r="L49" s="2"/>
      <c r="M49" s="2"/>
      <c r="N49" s="2"/>
      <c r="O49" s="2"/>
      <c r="P49" s="2"/>
      <c r="Q49" s="2"/>
      <c r="R49" s="2"/>
      <c r="S49" s="2"/>
      <c r="T49" s="2"/>
      <c r="U49" s="43"/>
    </row>
    <row r="50" spans="1:21" s="1" customFormat="1" ht="12.75" customHeight="1">
      <c r="A50" s="2"/>
      <c r="B50" s="141"/>
      <c r="C50" s="41" t="s">
        <v>269</v>
      </c>
      <c r="D50" s="2"/>
      <c r="E50" s="2"/>
      <c r="F50" s="2"/>
      <c r="G50" s="2"/>
      <c r="H50" s="2"/>
      <c r="I50" s="2"/>
      <c r="J50" s="2"/>
      <c r="K50" s="2"/>
      <c r="L50" s="2"/>
      <c r="M50" s="2"/>
      <c r="N50" s="2"/>
      <c r="O50" s="2"/>
      <c r="P50" s="2"/>
      <c r="Q50" s="2"/>
      <c r="R50" s="2"/>
      <c r="S50" s="2"/>
      <c r="T50" s="2"/>
      <c r="U50" s="43"/>
    </row>
    <row r="51" spans="2:21" s="1" customFormat="1" ht="12.75">
      <c r="B51" s="141"/>
      <c r="C51" s="428" t="s">
        <v>270</v>
      </c>
      <c r="D51" s="2"/>
      <c r="E51" s="2"/>
      <c r="F51" s="2"/>
      <c r="G51" s="2"/>
      <c r="H51" s="2"/>
      <c r="I51" s="2"/>
      <c r="J51" s="2"/>
      <c r="K51" s="2"/>
      <c r="L51" s="2"/>
      <c r="M51" s="2"/>
      <c r="N51" s="2"/>
      <c r="O51" s="2"/>
      <c r="P51" s="2"/>
      <c r="Q51" s="2"/>
      <c r="R51" s="2"/>
      <c r="S51" s="2"/>
      <c r="T51" s="2"/>
      <c r="U51" s="43"/>
    </row>
    <row r="52" spans="2:21" s="1" customFormat="1" ht="12.75">
      <c r="B52" s="141"/>
      <c r="C52" s="428" t="s">
        <v>271</v>
      </c>
      <c r="D52" s="2"/>
      <c r="E52" s="2"/>
      <c r="F52" s="2"/>
      <c r="G52" s="2"/>
      <c r="H52" s="2"/>
      <c r="I52" s="2"/>
      <c r="J52" s="2"/>
      <c r="K52" s="2"/>
      <c r="L52" s="2"/>
      <c r="M52" s="2"/>
      <c r="N52" s="2"/>
      <c r="O52" s="2"/>
      <c r="P52" s="2"/>
      <c r="Q52" s="2"/>
      <c r="R52" s="2"/>
      <c r="S52" s="2"/>
      <c r="T52" s="2"/>
      <c r="U52" s="43"/>
    </row>
    <row r="53" spans="2:21" s="134" customFormat="1" ht="12.75" customHeight="1">
      <c r="B53" s="135"/>
      <c r="C53" s="428" t="s">
        <v>272</v>
      </c>
      <c r="D53" s="41"/>
      <c r="E53" s="131"/>
      <c r="F53" s="437"/>
      <c r="G53" s="437"/>
      <c r="H53" s="437"/>
      <c r="I53" s="131"/>
      <c r="J53" s="437"/>
      <c r="K53" s="131"/>
      <c r="L53" s="133"/>
      <c r="M53" s="131"/>
      <c r="N53" s="133"/>
      <c r="O53" s="131"/>
      <c r="P53" s="133"/>
      <c r="Q53" s="131"/>
      <c r="R53" s="138"/>
      <c r="S53" s="138"/>
      <c r="T53" s="138"/>
      <c r="U53" s="139"/>
    </row>
    <row r="54" spans="2:21" s="134" customFormat="1" ht="12.75" customHeight="1" thickBot="1">
      <c r="B54" s="429"/>
      <c r="C54" s="441" t="s">
        <v>280</v>
      </c>
      <c r="D54" s="155"/>
      <c r="E54" s="430"/>
      <c r="F54" s="431"/>
      <c r="G54" s="431"/>
      <c r="H54" s="431"/>
      <c r="I54" s="430"/>
      <c r="J54" s="431"/>
      <c r="K54" s="430"/>
      <c r="L54" s="432"/>
      <c r="M54" s="430"/>
      <c r="N54" s="432"/>
      <c r="O54" s="430"/>
      <c r="P54" s="432"/>
      <c r="Q54" s="430"/>
      <c r="R54" s="433"/>
      <c r="S54" s="433"/>
      <c r="T54" s="433"/>
      <c r="U54" s="434"/>
    </row>
    <row r="55" spans="2:25" ht="12.75" customHeight="1" thickBot="1">
      <c r="B55" s="21"/>
      <c r="C55" s="146"/>
      <c r="D55" s="2"/>
      <c r="E55" s="2"/>
      <c r="F55" s="2"/>
      <c r="G55" s="2"/>
      <c r="H55" s="2"/>
      <c r="I55" s="2"/>
      <c r="J55" s="2"/>
      <c r="K55" s="2"/>
      <c r="L55" s="2"/>
      <c r="M55" s="2"/>
      <c r="N55" s="2"/>
      <c r="O55" s="2"/>
      <c r="R55" s="2"/>
      <c r="S55" s="2"/>
      <c r="T55" s="2"/>
      <c r="U55" s="2"/>
      <c r="V55" s="2"/>
      <c r="W55" s="2"/>
      <c r="X55" s="2"/>
      <c r="Y55" s="21"/>
    </row>
    <row r="56" spans="1:26" s="21" customFormat="1" ht="15.75" customHeight="1">
      <c r="A56" s="125"/>
      <c r="B56" s="164" t="s">
        <v>24</v>
      </c>
      <c r="C56" s="165"/>
      <c r="D56" s="166"/>
      <c r="E56" s="166"/>
      <c r="F56" s="166"/>
      <c r="G56" s="166"/>
      <c r="H56" s="166"/>
      <c r="I56" s="166"/>
      <c r="J56" s="166"/>
      <c r="K56" s="166"/>
      <c r="L56" s="166"/>
      <c r="M56" s="166"/>
      <c r="N56" s="166"/>
      <c r="O56" s="166"/>
      <c r="P56" s="166"/>
      <c r="Q56" s="166"/>
      <c r="R56" s="166"/>
      <c r="S56" s="166"/>
      <c r="T56" s="166"/>
      <c r="U56" s="166"/>
      <c r="V56" s="166"/>
      <c r="W56" s="166"/>
      <c r="X56" s="166"/>
      <c r="Y56" s="167"/>
      <c r="Z56" s="106"/>
    </row>
    <row r="57" spans="1:25" ht="12.75" customHeight="1">
      <c r="A57" s="125"/>
      <c r="B57" s="2" t="s">
        <v>281</v>
      </c>
      <c r="D57" s="9"/>
      <c r="E57" s="9"/>
      <c r="F57" s="9"/>
      <c r="G57" s="9"/>
      <c r="H57" s="9"/>
      <c r="I57" s="9"/>
      <c r="J57" s="9"/>
      <c r="K57" s="9"/>
      <c r="L57" s="9"/>
      <c r="M57" s="9"/>
      <c r="N57" s="9"/>
      <c r="O57" s="9"/>
      <c r="P57" s="9"/>
      <c r="Q57" s="9"/>
      <c r="R57" s="9"/>
      <c r="S57" s="9"/>
      <c r="T57" s="9"/>
      <c r="U57" s="9"/>
      <c r="V57" s="9"/>
      <c r="W57" s="9"/>
      <c r="X57" s="9"/>
      <c r="Y57" s="125"/>
    </row>
    <row r="58" spans="1:25" ht="12.75" customHeight="1">
      <c r="A58" s="125"/>
      <c r="B58" s="2" t="s">
        <v>29</v>
      </c>
      <c r="D58" s="9"/>
      <c r="E58" s="9"/>
      <c r="F58" s="9"/>
      <c r="G58" s="9"/>
      <c r="H58" s="9"/>
      <c r="I58" s="9"/>
      <c r="J58" s="9"/>
      <c r="K58" s="9"/>
      <c r="L58" s="9"/>
      <c r="M58" s="9"/>
      <c r="N58" s="9"/>
      <c r="O58" s="9"/>
      <c r="P58" s="9"/>
      <c r="Q58" s="9"/>
      <c r="R58" s="2"/>
      <c r="S58" s="2"/>
      <c r="T58" s="9"/>
      <c r="U58" s="9"/>
      <c r="V58" s="9"/>
      <c r="W58" s="9"/>
      <c r="X58" s="9"/>
      <c r="Y58" s="125"/>
    </row>
    <row r="59" spans="1:25" ht="12.75" customHeight="1">
      <c r="A59" s="125"/>
      <c r="B59" s="2" t="s">
        <v>50</v>
      </c>
      <c r="D59" s="9"/>
      <c r="E59" s="9"/>
      <c r="F59" s="9"/>
      <c r="G59" s="9"/>
      <c r="H59" s="9"/>
      <c r="I59" s="9"/>
      <c r="J59" s="9"/>
      <c r="K59" s="9"/>
      <c r="L59" s="9"/>
      <c r="M59" s="9"/>
      <c r="N59" s="9"/>
      <c r="O59" s="9"/>
      <c r="P59" s="9"/>
      <c r="Q59" s="9"/>
      <c r="R59" s="2"/>
      <c r="S59" s="2"/>
      <c r="T59" s="9"/>
      <c r="U59" s="9"/>
      <c r="V59" s="9"/>
      <c r="W59" s="9"/>
      <c r="X59" s="9"/>
      <c r="Y59" s="125"/>
    </row>
    <row r="60" spans="1:25" ht="12.75" customHeight="1">
      <c r="A60" s="125"/>
      <c r="B60" s="41" t="s">
        <v>51</v>
      </c>
      <c r="D60" s="9"/>
      <c r="E60" s="9"/>
      <c r="F60" s="9"/>
      <c r="G60" s="9"/>
      <c r="H60" s="9"/>
      <c r="I60" s="9"/>
      <c r="J60" s="9"/>
      <c r="K60" s="9"/>
      <c r="L60" s="9"/>
      <c r="M60" s="9"/>
      <c r="N60" s="9"/>
      <c r="O60" s="9"/>
      <c r="P60" s="9"/>
      <c r="Q60" s="9"/>
      <c r="R60" s="2"/>
      <c r="S60" s="2"/>
      <c r="T60" s="9"/>
      <c r="U60" s="9"/>
      <c r="V60" s="9"/>
      <c r="W60" s="9"/>
      <c r="X60" s="9"/>
      <c r="Y60" s="125"/>
    </row>
    <row r="61" spans="1:25" ht="12.75" customHeight="1">
      <c r="A61" s="125"/>
      <c r="B61" s="1" t="s">
        <v>285</v>
      </c>
      <c r="Y61" s="125"/>
    </row>
    <row r="62" spans="1:25" ht="12.75" customHeight="1">
      <c r="A62" s="125"/>
      <c r="B62" s="2" t="s">
        <v>83</v>
      </c>
      <c r="D62" s="12"/>
      <c r="E62" s="12"/>
      <c r="F62" s="12"/>
      <c r="G62" s="12"/>
      <c r="H62" s="12"/>
      <c r="I62" s="12"/>
      <c r="J62" s="12"/>
      <c r="K62" s="12"/>
      <c r="L62" s="12"/>
      <c r="M62" s="12"/>
      <c r="N62" s="12"/>
      <c r="O62" s="12"/>
      <c r="P62" s="12"/>
      <c r="Q62" s="12"/>
      <c r="R62" s="21"/>
      <c r="S62" s="21"/>
      <c r="T62" s="12"/>
      <c r="U62" s="12"/>
      <c r="V62" s="12"/>
      <c r="W62" s="12"/>
      <c r="X62" s="12"/>
      <c r="Y62" s="125"/>
    </row>
    <row r="63" spans="1:25" ht="12.75" customHeight="1">
      <c r="A63" s="125"/>
      <c r="C63" s="2" t="s">
        <v>286</v>
      </c>
      <c r="D63" s="2"/>
      <c r="E63" s="2"/>
      <c r="F63" s="2"/>
      <c r="G63" s="2"/>
      <c r="H63" s="2"/>
      <c r="I63" s="2"/>
      <c r="J63" s="2"/>
      <c r="K63" s="2"/>
      <c r="L63" s="2"/>
      <c r="M63" s="2"/>
      <c r="N63" s="2"/>
      <c r="O63" s="21"/>
      <c r="R63" s="2"/>
      <c r="S63" s="2"/>
      <c r="T63" s="2"/>
      <c r="U63" s="2"/>
      <c r="V63" s="2"/>
      <c r="W63" s="2"/>
      <c r="X63" s="2"/>
      <c r="Y63" s="125"/>
    </row>
    <row r="64" spans="1:25" ht="12.75" customHeight="1">
      <c r="A64" s="125"/>
      <c r="B64" s="2"/>
      <c r="C64" s="2" t="s">
        <v>9</v>
      </c>
      <c r="E64" s="2"/>
      <c r="F64" s="2"/>
      <c r="G64" s="2"/>
      <c r="H64" s="2"/>
      <c r="I64" s="2"/>
      <c r="J64" s="2"/>
      <c r="K64" s="2"/>
      <c r="L64" s="2"/>
      <c r="M64" s="2"/>
      <c r="N64" s="2"/>
      <c r="O64" s="2"/>
      <c r="P64" s="21" t="s">
        <v>69</v>
      </c>
      <c r="R64" s="21"/>
      <c r="S64" s="21"/>
      <c r="T64" s="2"/>
      <c r="U64" s="2"/>
      <c r="V64" s="2"/>
      <c r="W64" s="2"/>
      <c r="X64" s="2"/>
      <c r="Y64" s="125"/>
    </row>
    <row r="65" spans="1:25" ht="12.75" customHeight="1">
      <c r="A65" s="125"/>
      <c r="B65" s="2"/>
      <c r="C65" s="2" t="s">
        <v>10</v>
      </c>
      <c r="E65" s="2"/>
      <c r="F65" s="2"/>
      <c r="G65" s="2"/>
      <c r="H65" s="2"/>
      <c r="I65" s="2"/>
      <c r="J65" s="2"/>
      <c r="K65" s="2"/>
      <c r="L65" s="2"/>
      <c r="M65" s="2"/>
      <c r="N65" s="2"/>
      <c r="O65" s="2"/>
      <c r="R65" s="2"/>
      <c r="S65" s="2"/>
      <c r="T65" s="2"/>
      <c r="U65" s="2"/>
      <c r="V65" s="2"/>
      <c r="W65" s="2"/>
      <c r="X65" s="2"/>
      <c r="Y65" s="125"/>
    </row>
    <row r="66" spans="1:25" ht="12.75" customHeight="1">
      <c r="A66" s="125"/>
      <c r="B66" s="2"/>
      <c r="C66" s="2" t="s">
        <v>11</v>
      </c>
      <c r="E66" s="2"/>
      <c r="F66" s="2"/>
      <c r="G66" s="2"/>
      <c r="H66" s="2"/>
      <c r="I66" s="2"/>
      <c r="J66" s="2"/>
      <c r="K66" s="2"/>
      <c r="L66" s="2"/>
      <c r="M66" s="2"/>
      <c r="N66" s="2"/>
      <c r="O66" s="2"/>
      <c r="R66" s="2"/>
      <c r="S66" s="2"/>
      <c r="T66" s="2"/>
      <c r="U66" s="2"/>
      <c r="V66" s="2"/>
      <c r="W66" s="2"/>
      <c r="X66" s="2"/>
      <c r="Y66" s="125"/>
    </row>
    <row r="67" spans="1:25" ht="12.75" customHeight="1">
      <c r="A67" s="125"/>
      <c r="B67" s="2"/>
      <c r="C67" s="2" t="s">
        <v>12</v>
      </c>
      <c r="E67" s="2"/>
      <c r="F67" s="2"/>
      <c r="G67" s="2"/>
      <c r="H67" s="2"/>
      <c r="I67" s="2"/>
      <c r="J67" s="2"/>
      <c r="K67" s="2"/>
      <c r="L67" s="2"/>
      <c r="M67" s="2"/>
      <c r="N67" s="2"/>
      <c r="O67" s="2"/>
      <c r="R67" s="2"/>
      <c r="S67" s="2"/>
      <c r="T67" s="2"/>
      <c r="U67" s="2"/>
      <c r="V67" s="2"/>
      <c r="W67" s="2"/>
      <c r="X67" s="2"/>
      <c r="Y67" s="125"/>
    </row>
    <row r="68" spans="1:25" ht="12.75" customHeight="1">
      <c r="A68" s="125"/>
      <c r="B68" s="2"/>
      <c r="C68" s="2" t="s">
        <v>13</v>
      </c>
      <c r="E68" s="2"/>
      <c r="F68" s="2"/>
      <c r="G68" s="2"/>
      <c r="H68" s="2"/>
      <c r="I68" s="2"/>
      <c r="J68" s="2"/>
      <c r="K68" s="2"/>
      <c r="L68" s="2"/>
      <c r="M68" s="2"/>
      <c r="N68" s="2"/>
      <c r="O68" s="2"/>
      <c r="R68" s="2"/>
      <c r="S68" s="2"/>
      <c r="T68" s="2"/>
      <c r="U68" s="2"/>
      <c r="V68" s="2"/>
      <c r="W68" s="2"/>
      <c r="X68" s="2"/>
      <c r="Y68" s="125"/>
    </row>
    <row r="69" spans="2:25" ht="12" customHeight="1" thickBot="1">
      <c r="B69" s="42"/>
      <c r="C69" s="53"/>
      <c r="D69" s="14"/>
      <c r="E69" s="14"/>
      <c r="F69" s="14"/>
      <c r="G69" s="14"/>
      <c r="H69" s="14"/>
      <c r="I69" s="14"/>
      <c r="J69" s="14"/>
      <c r="K69" s="14"/>
      <c r="L69" s="18"/>
      <c r="M69" s="14"/>
      <c r="N69" s="14"/>
      <c r="O69" s="14"/>
      <c r="P69" s="14"/>
      <c r="Q69" s="14"/>
      <c r="R69" s="14"/>
      <c r="S69" s="14"/>
      <c r="T69" s="14"/>
      <c r="U69" s="14"/>
      <c r="V69" s="14"/>
      <c r="W69" s="14"/>
      <c r="X69" s="14"/>
      <c r="Y69" s="125"/>
    </row>
    <row r="70" spans="2:26" ht="9" customHeight="1">
      <c r="B70" s="207"/>
      <c r="C70" s="210"/>
      <c r="D70" s="210"/>
      <c r="E70" s="210"/>
      <c r="F70" s="210"/>
      <c r="G70" s="210"/>
      <c r="H70" s="210"/>
      <c r="I70" s="210"/>
      <c r="J70" s="210"/>
      <c r="K70" s="210"/>
      <c r="L70" s="210"/>
      <c r="M70" s="210"/>
      <c r="N70" s="210"/>
      <c r="O70" s="210"/>
      <c r="P70" s="210"/>
      <c r="Q70" s="210"/>
      <c r="R70" s="210"/>
      <c r="S70" s="210"/>
      <c r="T70" s="210"/>
      <c r="U70" s="210"/>
      <c r="V70" s="210"/>
      <c r="W70" s="210"/>
      <c r="X70" s="210"/>
      <c r="Y70" s="211"/>
      <c r="Z70" s="41"/>
    </row>
    <row r="71" spans="2:28" ht="12.75" customHeight="1">
      <c r="B71" s="44"/>
      <c r="C71" s="446" t="s">
        <v>136</v>
      </c>
      <c r="D71" s="447"/>
      <c r="E71" s="447"/>
      <c r="F71" s="447"/>
      <c r="G71" s="447"/>
      <c r="H71" s="447"/>
      <c r="I71" s="448"/>
      <c r="J71" s="35"/>
      <c r="K71" s="497" t="s">
        <v>63</v>
      </c>
      <c r="L71" s="498"/>
      <c r="M71" s="446" t="s">
        <v>17</v>
      </c>
      <c r="N71" s="447"/>
      <c r="O71" s="447"/>
      <c r="P71" s="447"/>
      <c r="Q71" s="447"/>
      <c r="R71" s="448"/>
      <c r="S71" s="516" t="s">
        <v>64</v>
      </c>
      <c r="T71" s="517"/>
      <c r="U71" s="517"/>
      <c r="V71" s="517"/>
      <c r="W71" s="517"/>
      <c r="X71" s="518"/>
      <c r="Y71" s="45"/>
      <c r="Z71" s="41"/>
      <c r="AA71" s="1"/>
      <c r="AB71" s="1"/>
    </row>
    <row r="72" spans="2:28" ht="14.25" customHeight="1">
      <c r="B72" s="44"/>
      <c r="C72" s="449" t="s">
        <v>18</v>
      </c>
      <c r="D72" s="456" t="s">
        <v>137</v>
      </c>
      <c r="E72" s="468" t="s">
        <v>21</v>
      </c>
      <c r="F72" s="458" t="s">
        <v>159</v>
      </c>
      <c r="G72" s="459"/>
      <c r="H72" s="460"/>
      <c r="I72" s="463" t="s">
        <v>185</v>
      </c>
      <c r="J72" s="463"/>
      <c r="K72" s="101" t="s">
        <v>72</v>
      </c>
      <c r="L72" s="100" t="s">
        <v>71</v>
      </c>
      <c r="M72" s="23" t="s">
        <v>19</v>
      </c>
      <c r="N72" s="26" t="str">
        <f>J74&amp;"% compatibility limits"</f>
        <v>90% compatibility limits</v>
      </c>
      <c r="O72" s="27"/>
      <c r="P72" s="28"/>
      <c r="Q72" s="497" t="s">
        <v>162</v>
      </c>
      <c r="R72" s="498"/>
      <c r="S72" s="504" t="str">
        <f>"...beneficial or
substantially "&amp;K73</f>
        <v>...beneficial or
substantially +ive</v>
      </c>
      <c r="T72" s="505"/>
      <c r="U72" s="508" t="s">
        <v>70</v>
      </c>
      <c r="V72" s="509"/>
      <c r="W72" s="512" t="str">
        <f>"...harmful or 
substantially "&amp;L73</f>
        <v>...harmful or 
substantially –ive</v>
      </c>
      <c r="X72" s="513"/>
      <c r="Y72" s="461" t="s">
        <v>125</v>
      </c>
      <c r="Z72" s="41"/>
      <c r="AA72" s="1"/>
      <c r="AB72" s="1"/>
    </row>
    <row r="73" spans="2:30" ht="13.5" customHeight="1">
      <c r="B73" s="44"/>
      <c r="C73" s="449"/>
      <c r="D73" s="457"/>
      <c r="E73" s="467"/>
      <c r="F73" s="38" t="s">
        <v>15</v>
      </c>
      <c r="G73" s="39" t="s">
        <v>16</v>
      </c>
      <c r="H73" s="37" t="s">
        <v>101</v>
      </c>
      <c r="I73" s="36" t="s">
        <v>3</v>
      </c>
      <c r="J73" s="25" t="s">
        <v>20</v>
      </c>
      <c r="K73" s="104" t="str">
        <f>IF(ISBLANK(K74),"???",IF(K74&lt;0,"–ive","+ive"))</f>
        <v>+ive</v>
      </c>
      <c r="L73" s="105" t="str">
        <f>IF(TYPE(L74)=2,"???",IF(L74&lt;0,"–ive","+ive"))</f>
        <v>–ive</v>
      </c>
      <c r="M73" s="19" t="str">
        <f>C74&amp;"-"&amp;C75</f>
        <v>A-B</v>
      </c>
      <c r="N73" s="25" t="s">
        <v>0</v>
      </c>
      <c r="O73" s="25" t="s">
        <v>1</v>
      </c>
      <c r="P73" s="22" t="s">
        <v>2</v>
      </c>
      <c r="Q73" s="82" t="s">
        <v>66</v>
      </c>
      <c r="R73" s="74" t="s">
        <v>138</v>
      </c>
      <c r="S73" s="506"/>
      <c r="T73" s="507"/>
      <c r="U73" s="510"/>
      <c r="V73" s="511"/>
      <c r="W73" s="514"/>
      <c r="X73" s="515"/>
      <c r="Y73" s="462"/>
      <c r="Z73" s="41"/>
      <c r="AA73" s="3" t="s">
        <v>4</v>
      </c>
      <c r="AB73" s="4" t="s">
        <v>5</v>
      </c>
      <c r="AC73" s="5" t="s">
        <v>6</v>
      </c>
      <c r="AD73" s="5" t="s">
        <v>19</v>
      </c>
    </row>
    <row r="74" spans="2:30" s="87" customFormat="1" ht="18" customHeight="1">
      <c r="B74" s="83"/>
      <c r="C74" s="84" t="s">
        <v>7</v>
      </c>
      <c r="D74" s="75">
        <v>1.9</v>
      </c>
      <c r="E74" s="75">
        <v>12</v>
      </c>
      <c r="F74" s="75">
        <v>0.2</v>
      </c>
      <c r="G74" s="75">
        <v>2.8</v>
      </c>
      <c r="H74" s="75"/>
      <c r="I74" s="75">
        <v>90</v>
      </c>
      <c r="J74" s="452">
        <f>100-2*$G$36</f>
        <v>90</v>
      </c>
      <c r="K74" s="454">
        <v>1</v>
      </c>
      <c r="L74" s="452">
        <f>IF(ISBLANK(K74)," ",-K74)</f>
        <v>-1</v>
      </c>
      <c r="M74" s="469">
        <f>AD74</f>
        <v>-0.7000000000000002</v>
      </c>
      <c r="N74" s="469">
        <f>AD74-TINV((100-J74)/100,AC74)*AB74</f>
        <v>-3.0807982919102788</v>
      </c>
      <c r="O74" s="469">
        <f>AD74+TINV((100-J74)/100,AC74)*AB74</f>
        <v>1.6807982919102784</v>
      </c>
      <c r="P74" s="469">
        <f>(O74-N74)/2</f>
        <v>2.3807982919102786</v>
      </c>
      <c r="Q74" s="471" t="str">
        <f>IF(S74&lt;$I$36,IF(MAX(U74,W74)=U74,U75&amp;" trivial; don't use",W75&amp;" harmful; don't use"),IF(W74&lt;$E$36,S75&amp;" beneficial; consider using","unclear; don't use; get more data"))</f>
        <v>possibly trivial; don't use</v>
      </c>
      <c r="R74" s="519" t="str">
        <f>IF(MIN(S74,W74)&gt;$G$36,"unclear; get more data",IF(MAX(S74,U74,W74)=S74,S75&amp;" "&amp;K73,IF(MAX(S74,U74,W74)=U74,U75&amp;" trivial",W75&amp;" "&amp;L73)))</f>
        <v>unclear; get more data</v>
      </c>
      <c r="S74" s="126">
        <f>100*IF(K74&gt;0,IF(AD74-K74&gt;0,1-TDIST((AD74-K74)/AB74,AC74,1),TDIST((K74-AD74)/AB74,AC74,1)),IF(AD74-K74&gt;0,TDIST((AD74-K74)/AB74,AC74,1),1-TDIST((K74-AD74)/AB74,AC74,1)))</f>
        <v>11.491326602608643</v>
      </c>
      <c r="T74" s="127" t="s">
        <v>65</v>
      </c>
      <c r="U74" s="126">
        <f>100-S74-W74</f>
        <v>47.1011712912273</v>
      </c>
      <c r="V74" s="127" t="s">
        <v>65</v>
      </c>
      <c r="W74" s="126">
        <f>100*IF(L74&gt;0,IF(AD74-L74&gt;0,1-TDIST((AD74-L74)/AB74,AC74,1),TDIST((L74-AD74)/AB74,AC74,1)),IF(AD74-L74&gt;0,TDIST((AD74-L74)/AB74,AC74,1),1-TDIST((L74-AD74)/AB74,AC74,1)))</f>
        <v>41.40750210616406</v>
      </c>
      <c r="X74" s="127" t="s">
        <v>65</v>
      </c>
      <c r="Y74" s="185">
        <f>S74/(100-S74)/(W74/(100-W74))</f>
        <v>0.18371614220600976</v>
      </c>
      <c r="Z74" s="107"/>
      <c r="AA74" s="72">
        <f>IF(ISNUMBER(H74),H74,(G74-F74)/2)/TINV(1-I74/100,E74)</f>
        <v>0.7293996952845165</v>
      </c>
      <c r="AB74" s="492">
        <f>SQRT(AA74^2+AA75^2)</f>
        <v>1.3580889357680224</v>
      </c>
      <c r="AC74" s="491">
        <f>(AA74^2+AA75^2)^2/(AA74^4/E74+AA75^4/E75)</f>
        <v>15.825478081416659</v>
      </c>
      <c r="AD74" s="492">
        <f>D74-D75</f>
        <v>-0.7000000000000002</v>
      </c>
    </row>
    <row r="75" spans="2:30" s="87" customFormat="1" ht="18" customHeight="1">
      <c r="B75" s="83"/>
      <c r="C75" s="84" t="s">
        <v>8</v>
      </c>
      <c r="D75" s="75">
        <v>2.6</v>
      </c>
      <c r="E75" s="75">
        <v>9</v>
      </c>
      <c r="F75" s="75"/>
      <c r="G75" s="75"/>
      <c r="H75" s="75">
        <v>2.1</v>
      </c>
      <c r="I75" s="88">
        <f>I74</f>
        <v>90</v>
      </c>
      <c r="J75" s="453"/>
      <c r="K75" s="455"/>
      <c r="L75" s="453"/>
      <c r="M75" s="470"/>
      <c r="N75" s="480"/>
      <c r="O75" s="480"/>
      <c r="P75" s="480"/>
      <c r="Q75" s="472"/>
      <c r="R75" s="520"/>
      <c r="S75" s="499" t="str">
        <f>IF(S74&lt;$E$36,$D$36,IF(S74&lt;$G$36,$F$36,IF(S74&lt;$I$36,$H$36,IF(S74&lt;$K$36,$J$36,IF(S74&lt;$M$36,$L$36,IF(S74&lt;$O$36,$N$36,$P$36))))))</f>
        <v>unlikely</v>
      </c>
      <c r="T75" s="500"/>
      <c r="U75" s="499" t="str">
        <f>IF(U74&lt;$E$36,$D$36,IF(U74&lt;$G$36,$F$36,IF(U74&lt;$I$36,$H$36,IF(U74&lt;$K$36,$J$36,IF(U74&lt;$M$36,$L$36,IF(U74&lt;$O$36,$N$36,$P$36))))))</f>
        <v>possibly</v>
      </c>
      <c r="V75" s="500"/>
      <c r="W75" s="499" t="str">
        <f>IF(W74&lt;$E$36,$D$36,IF(W74&lt;$G$36,$F$36,IF(W74&lt;$I$36,$H$36,IF(W74&lt;$K$36,$J$36,IF(W74&lt;$M$36,$L$36,IF(W74&lt;$O$36,$N$36,$P$36))))))</f>
        <v>possibly</v>
      </c>
      <c r="X75" s="500"/>
      <c r="Y75" s="85"/>
      <c r="Z75" s="107"/>
      <c r="AA75" s="72">
        <f>IF(ISNUMBER(H75),H75,(G75-F75)/2)/TINV(1-I75/100,E75)</f>
        <v>1.1455922668970728</v>
      </c>
      <c r="AB75" s="492"/>
      <c r="AC75" s="491"/>
      <c r="AD75" s="492"/>
    </row>
    <row r="76" spans="2:30" ht="12.75">
      <c r="B76" s="44"/>
      <c r="C76" s="30"/>
      <c r="D76" s="30"/>
      <c r="E76" s="31"/>
      <c r="F76" s="32"/>
      <c r="G76" s="33"/>
      <c r="H76" s="30"/>
      <c r="I76" s="30"/>
      <c r="J76" s="30"/>
      <c r="K76" s="30"/>
      <c r="L76" s="30"/>
      <c r="M76" s="20" t="str">
        <f>"("&amp;C74&amp;"+"&amp;C75&amp;")/2"</f>
        <v>(A+B)/2</v>
      </c>
      <c r="N76" s="23"/>
      <c r="O76" s="73"/>
      <c r="P76" s="73"/>
      <c r="Q76" s="206">
        <f>IF(AND(W74&gt;$E$36,Y74&gt;$I$36/$K$36/($E$36/$O$36)),"Less conservative clinical: '"&amp;S75&amp;" beneficial, consider using' because odds ratio is &gt;"&amp;ROUND($I$36/$K$36/($E$36/$O$36),1)&amp;".","")</f>
      </c>
      <c r="R76" s="204"/>
      <c r="S76" s="204"/>
      <c r="T76" s="204"/>
      <c r="U76" s="204"/>
      <c r="V76" s="204"/>
      <c r="W76" s="204"/>
      <c r="X76" s="205"/>
      <c r="Y76" s="85"/>
      <c r="Z76" s="41"/>
      <c r="AA76" s="3" t="s">
        <v>4</v>
      </c>
      <c r="AB76" s="4" t="s">
        <v>5</v>
      </c>
      <c r="AC76" s="5" t="s">
        <v>6</v>
      </c>
      <c r="AD76" s="5" t="s">
        <v>19</v>
      </c>
    </row>
    <row r="77" spans="2:30" ht="18" customHeight="1">
      <c r="B77" s="44"/>
      <c r="C77" s="30"/>
      <c r="D77" s="30"/>
      <c r="E77" s="31"/>
      <c r="F77" s="32"/>
      <c r="G77" s="33"/>
      <c r="H77" s="30"/>
      <c r="I77" s="30"/>
      <c r="J77" s="30"/>
      <c r="K77" s="30"/>
      <c r="L77" s="30"/>
      <c r="M77" s="450">
        <f>AD77</f>
        <v>2.25</v>
      </c>
      <c r="N77" s="473">
        <f>AD77-TINV((100-J74)/100,AC77)*AB77</f>
        <v>1.0596008540448607</v>
      </c>
      <c r="O77" s="473">
        <f>AD77+TINV((100-J74)/100,AC77)*AB77</f>
        <v>3.4403991459551393</v>
      </c>
      <c r="P77" s="473">
        <f>(O77-N77)/2</f>
        <v>1.1903991459551393</v>
      </c>
      <c r="Q77" s="476" t="str">
        <f>IF(S77&lt;$I$36,IF(MAX(U77,W77)=U77,U78&amp;" trivial; don't use",W78&amp;" harmful; don't use"),IF(W77&lt;$E$36,S78&amp;" beneficial; consider using","unclear; don't use; get more data"))</f>
        <v>very likely beneficial; consider using</v>
      </c>
      <c r="R77" s="477" t="str">
        <f>IF(MIN(S77,W77)&gt;$G$36,"unclear; get more data",IF(MAX(S77,U77,W77)=S77,S78&amp;" "&amp;K73,IF(MAX(S77,U77,W77)=U77,U78&amp;" trivial",W78&amp;" "&amp;L73)))</f>
        <v>very likely +ive</v>
      </c>
      <c r="S77" s="128">
        <f>100*IF(K74&gt;0,IF(AD77-K74&gt;0,1-TDIST((AD77-K74)/AB77,AC77,1),TDIST((K74-AD77)/AB77,AC77,1)),IF(AD77-K74&gt;0,TDIST((AD77-K74)/AB77,AC77,1),1-TDIST((K74-AD77)/AB77,AC77,1)))</f>
        <v>95.72431963725475</v>
      </c>
      <c r="T77" s="129" t="s">
        <v>65</v>
      </c>
      <c r="U77" s="128">
        <f>100-S77-W77</f>
        <v>4.263663585030247</v>
      </c>
      <c r="V77" s="129" t="s">
        <v>65</v>
      </c>
      <c r="W77" s="128">
        <f>100*IF(L74&gt;0,IF(AD77-L74&gt;0,1-TDIST((AD77-L74)/AB77,AC77,1),TDIST((L74-AD77)/AB77,AC77,1)),IF(AD77-L74&gt;0,TDIST((AD77-L74)/AB77,AC77,1),1-TDIST((L74-AD77)/AB77,AC77,1)))</f>
        <v>0.012016777715001968</v>
      </c>
      <c r="X77" s="129" t="s">
        <v>65</v>
      </c>
      <c r="Y77" s="186">
        <f>S77/(100-S77)/(W77/(100-W77))</f>
        <v>186284.5504332187</v>
      </c>
      <c r="Z77" s="41"/>
      <c r="AA77" s="6">
        <f>IF(ISNUMBER(H74),H74,(G74-F74)/2)/TINV(1-I74/100,E74)</f>
        <v>0.7293996952845165</v>
      </c>
      <c r="AB77" s="492">
        <f>SQRT(AA77^2+AA78^2)/2</f>
        <v>0.6790444678840112</v>
      </c>
      <c r="AC77" s="491">
        <f>(AA77^2+AA78^2)^2/(AA77^4/E74+AA78^4/E75)</f>
        <v>15.825478081416659</v>
      </c>
      <c r="AD77" s="492">
        <f>(D74+D75)/2</f>
        <v>2.25</v>
      </c>
    </row>
    <row r="78" spans="2:30" ht="18" customHeight="1">
      <c r="B78" s="44"/>
      <c r="C78" s="30"/>
      <c r="D78" s="30"/>
      <c r="E78" s="31"/>
      <c r="F78" s="32"/>
      <c r="G78" s="32"/>
      <c r="H78" s="32"/>
      <c r="I78" s="30"/>
      <c r="J78" s="30"/>
      <c r="K78" s="30"/>
      <c r="L78" s="30"/>
      <c r="M78" s="451"/>
      <c r="N78" s="451"/>
      <c r="O78" s="451"/>
      <c r="P78" s="451"/>
      <c r="Q78" s="476"/>
      <c r="R78" s="477"/>
      <c r="S78" s="489" t="str">
        <f>IF(S77&lt;$E$36,$D$36,IF(S77&lt;$G$36,$F$36,IF(S77&lt;$I$36,$H$36,IF(S77&lt;$K$36,$J$36,IF(S77&lt;$M$36,$L$36,IF(S77&lt;$O$36,$N$36,$P$36))))))</f>
        <v>very likely</v>
      </c>
      <c r="T78" s="490"/>
      <c r="U78" s="489" t="str">
        <f>IF(U77&lt;$E$36,$D$36,IF(U77&lt;$G$36,$F$36,IF(U77&lt;$I$36,$H$36,IF(U77&lt;$K$36,$J$36,IF(U77&lt;$M$36,$L$36,IF(U77&lt;$O$36,$N$36,$P$36))))))</f>
        <v>very unlikely</v>
      </c>
      <c r="V78" s="490"/>
      <c r="W78" s="489" t="str">
        <f>IF(W77&lt;$E$36,$D$36,IF(W77&lt;$G$36,$F$36,IF(W77&lt;$I$36,$H$36,IF(W77&lt;$K$36,$J$36,IF(W77&lt;$M$36,$L$36,IF(W77&lt;$O$36,$N$36,$P$36))))))</f>
        <v>most unlikely</v>
      </c>
      <c r="X78" s="490"/>
      <c r="Y78" s="45"/>
      <c r="Z78" s="41"/>
      <c r="AA78" s="6">
        <f>IF(ISNUMBER(H75),H75,(G75-F75)/2)/TINV(1-I75/100,E75)</f>
        <v>1.1455922668970728</v>
      </c>
      <c r="AB78" s="492"/>
      <c r="AC78" s="491"/>
      <c r="AD78" s="492"/>
    </row>
    <row r="79" spans="2:27" ht="12" customHeight="1" thickBot="1">
      <c r="B79" s="46"/>
      <c r="C79" s="69"/>
      <c r="D79" s="49"/>
      <c r="E79" s="49"/>
      <c r="F79" s="49"/>
      <c r="G79" s="49"/>
      <c r="H79" s="49"/>
      <c r="I79" s="49"/>
      <c r="J79" s="49"/>
      <c r="K79" s="49"/>
      <c r="L79" s="49"/>
      <c r="M79" s="49"/>
      <c r="N79" s="212"/>
      <c r="O79" s="213"/>
      <c r="P79" s="213"/>
      <c r="Q79" s="214">
        <f>IF(AND(W77&gt;$E$36,Y77&gt;$I$36/$K$36/($E$36/$O$36)),"Less conservative clinical: '"&amp;S78&amp;" beneficial, consider using' because odds ratio is &gt;"&amp;ROUND($I$36/$K$36/($E$36/$O$36),1)&amp;".","")</f>
      </c>
      <c r="R79" s="215"/>
      <c r="S79" s="215"/>
      <c r="T79" s="215"/>
      <c r="U79" s="215"/>
      <c r="V79" s="215"/>
      <c r="W79" s="215"/>
      <c r="X79" s="216"/>
      <c r="Y79" s="48"/>
      <c r="Z79" s="41"/>
      <c r="AA79" s="13"/>
    </row>
    <row r="80" spans="2:27" ht="9" customHeight="1">
      <c r="B80" s="207"/>
      <c r="C80" s="208"/>
      <c r="D80" s="209"/>
      <c r="E80" s="209"/>
      <c r="F80" s="209"/>
      <c r="G80" s="209"/>
      <c r="H80" s="209"/>
      <c r="I80" s="209"/>
      <c r="J80" s="209"/>
      <c r="K80" s="209"/>
      <c r="L80" s="209"/>
      <c r="M80" s="209"/>
      <c r="N80" s="209"/>
      <c r="O80" s="209"/>
      <c r="P80" s="209"/>
      <c r="Q80" s="209"/>
      <c r="R80" s="209"/>
      <c r="S80" s="210"/>
      <c r="T80" s="210"/>
      <c r="U80" s="210"/>
      <c r="V80" s="210"/>
      <c r="W80" s="210"/>
      <c r="X80" s="210"/>
      <c r="Y80" s="211"/>
      <c r="Z80" s="41"/>
      <c r="AA80" s="13"/>
    </row>
    <row r="81" spans="2:28" ht="12.75" customHeight="1">
      <c r="B81" s="44"/>
      <c r="C81" s="446" t="s">
        <v>136</v>
      </c>
      <c r="D81" s="447"/>
      <c r="E81" s="447"/>
      <c r="F81" s="447"/>
      <c r="G81" s="447"/>
      <c r="H81" s="447"/>
      <c r="I81" s="448"/>
      <c r="J81" s="35"/>
      <c r="K81" s="497" t="s">
        <v>63</v>
      </c>
      <c r="L81" s="498"/>
      <c r="M81" s="446" t="s">
        <v>17</v>
      </c>
      <c r="N81" s="447"/>
      <c r="O81" s="447"/>
      <c r="P81" s="447"/>
      <c r="Q81" s="447"/>
      <c r="R81" s="448"/>
      <c r="S81" s="516" t="s">
        <v>64</v>
      </c>
      <c r="T81" s="517"/>
      <c r="U81" s="517"/>
      <c r="V81" s="517"/>
      <c r="W81" s="517"/>
      <c r="X81" s="518"/>
      <c r="Y81" s="45"/>
      <c r="Z81" s="41"/>
      <c r="AA81" s="1"/>
      <c r="AB81" s="1"/>
    </row>
    <row r="82" spans="2:28" ht="14.25" customHeight="1">
      <c r="B82" s="44"/>
      <c r="C82" s="449" t="s">
        <v>18</v>
      </c>
      <c r="D82" s="456" t="s">
        <v>137</v>
      </c>
      <c r="E82" s="468" t="s">
        <v>21</v>
      </c>
      <c r="F82" s="458" t="s">
        <v>159</v>
      </c>
      <c r="G82" s="459"/>
      <c r="H82" s="460"/>
      <c r="I82" s="463" t="s">
        <v>185</v>
      </c>
      <c r="J82" s="463"/>
      <c r="K82" s="101" t="s">
        <v>72</v>
      </c>
      <c r="L82" s="100" t="s">
        <v>71</v>
      </c>
      <c r="M82" s="23" t="s">
        <v>19</v>
      </c>
      <c r="N82" s="26" t="str">
        <f>J84&amp;"% compatibility limits"</f>
        <v>90% compatibility limits</v>
      </c>
      <c r="O82" s="27"/>
      <c r="P82" s="28"/>
      <c r="Q82" s="497" t="s">
        <v>162</v>
      </c>
      <c r="R82" s="498"/>
      <c r="S82" s="504" t="str">
        <f>"...beneficial or
substantially "&amp;K83</f>
        <v>...beneficial or
substantially ???</v>
      </c>
      <c r="T82" s="505"/>
      <c r="U82" s="508" t="s">
        <v>70</v>
      </c>
      <c r="V82" s="509"/>
      <c r="W82" s="512" t="str">
        <f>"...harmful or 
substantially "&amp;L83</f>
        <v>...harmful or 
substantially ???</v>
      </c>
      <c r="X82" s="513"/>
      <c r="Y82" s="461" t="s">
        <v>125</v>
      </c>
      <c r="Z82" s="41"/>
      <c r="AA82" s="1"/>
      <c r="AB82" s="1"/>
    </row>
    <row r="83" spans="2:30" ht="13.5" customHeight="1">
      <c r="B83" s="44"/>
      <c r="C83" s="449"/>
      <c r="D83" s="457"/>
      <c r="E83" s="467"/>
      <c r="F83" s="38" t="s">
        <v>15</v>
      </c>
      <c r="G83" s="39" t="s">
        <v>16</v>
      </c>
      <c r="H83" s="37" t="s">
        <v>101</v>
      </c>
      <c r="I83" s="36" t="s">
        <v>3</v>
      </c>
      <c r="J83" s="25" t="s">
        <v>20</v>
      </c>
      <c r="K83" s="104" t="str">
        <f>IF(ISBLANK(K84),"???",IF(K84&lt;0,"–ive","+ive"))</f>
        <v>???</v>
      </c>
      <c r="L83" s="105" t="str">
        <f>IF(TYPE(L84)=2,"???",IF(L84&lt;0,"–ive","+ive"))</f>
        <v>???</v>
      </c>
      <c r="M83" s="19" t="str">
        <f>C84&amp;"-"&amp;C85</f>
        <v>A-B</v>
      </c>
      <c r="N83" s="25" t="s">
        <v>0</v>
      </c>
      <c r="O83" s="25" t="s">
        <v>1</v>
      </c>
      <c r="P83" s="22" t="s">
        <v>2</v>
      </c>
      <c r="Q83" s="82" t="s">
        <v>66</v>
      </c>
      <c r="R83" s="74" t="s">
        <v>138</v>
      </c>
      <c r="S83" s="506"/>
      <c r="T83" s="507"/>
      <c r="U83" s="510"/>
      <c r="V83" s="511"/>
      <c r="W83" s="514"/>
      <c r="X83" s="515"/>
      <c r="Y83" s="462"/>
      <c r="Z83" s="41"/>
      <c r="AA83" s="3" t="s">
        <v>4</v>
      </c>
      <c r="AB83" s="4" t="s">
        <v>5</v>
      </c>
      <c r="AC83" s="5" t="s">
        <v>6</v>
      </c>
      <c r="AD83" s="5" t="s">
        <v>19</v>
      </c>
    </row>
    <row r="84" spans="2:30" s="87" customFormat="1" ht="18" customHeight="1">
      <c r="B84" s="83"/>
      <c r="C84" s="84" t="s">
        <v>7</v>
      </c>
      <c r="D84" s="75"/>
      <c r="E84" s="75"/>
      <c r="F84" s="75"/>
      <c r="G84" s="75"/>
      <c r="H84" s="75"/>
      <c r="I84" s="75"/>
      <c r="J84" s="452">
        <f>100-2*$G$36</f>
        <v>90</v>
      </c>
      <c r="K84" s="454"/>
      <c r="L84" s="452" t="str">
        <f>IF(ISBLANK(K84)," ",-K84)</f>
        <v> </v>
      </c>
      <c r="M84" s="469">
        <f>AD84</f>
        <v>0</v>
      </c>
      <c r="N84" s="469" t="e">
        <f>AD84-TINV((100-J84)/100,AC84)*AB84</f>
        <v>#NUM!</v>
      </c>
      <c r="O84" s="469" t="e">
        <f>AD84+TINV((100-J84)/100,AC84)*AB84</f>
        <v>#NUM!</v>
      </c>
      <c r="P84" s="469" t="e">
        <f>(O84-N84)/2</f>
        <v>#NUM!</v>
      </c>
      <c r="Q84" s="471" t="e">
        <f>IF(S84&lt;$I$36,IF(MAX(U84,W84)=U84,U85&amp;" trivial; don't use",W85&amp;" harmful; don't use"),IF(W84&lt;$E$36,S85&amp;" beneficial; consider using","unclear; don't use; get more data"))</f>
        <v>#NUM!</v>
      </c>
      <c r="R84" s="471" t="e">
        <f>IF(MIN(S84,W84)&gt;$G$36,"unclear; get more data",IF(MAX(S84,U84,W84)=S84,S85&amp;" "&amp;K83,IF(MAX(S84,U84,W84)=U84,U85&amp;" trivial",W85&amp;" "&amp;L83)))</f>
        <v>#NUM!</v>
      </c>
      <c r="S84" s="126" t="e">
        <f>100*IF(K84&gt;0,IF(AD84-K84&gt;0,1-TDIST((AD84-K84)/AB84,AC84,1),TDIST((K84-AD84)/AB84,AC84,1)),IF(AD84-K84&gt;0,TDIST((AD84-K84)/AB84,AC84,1),1-TDIST((K84-AD84)/AB84,AC84,1)))</f>
        <v>#NUM!</v>
      </c>
      <c r="T84" s="127" t="s">
        <v>65</v>
      </c>
      <c r="U84" s="126" t="e">
        <f>100-S84-W84</f>
        <v>#NUM!</v>
      </c>
      <c r="V84" s="127" t="s">
        <v>65</v>
      </c>
      <c r="W84" s="126" t="e">
        <f>100*IF(L84&gt;0,IF(AD84-L84&gt;0,1-TDIST((AD84-L84)/AB84,AC84,1),TDIST((L84-AD84)/AB84,AC84,1)),IF(AD84-L84&gt;0,TDIST((AD84-L84)/AB84,AC84,1),1-TDIST((L84-AD84)/AB84,AC84,1)))</f>
        <v>#VALUE!</v>
      </c>
      <c r="X84" s="127" t="s">
        <v>65</v>
      </c>
      <c r="Y84" s="185" t="e">
        <f>S84/(100-S84)/(W84/(100-W84))</f>
        <v>#NUM!</v>
      </c>
      <c r="Z84" s="107"/>
      <c r="AA84" s="72" t="e">
        <f>IF(ISNUMBER(H84),H84,(G84-F84)/2)/TINV(1-I84/100,E84)</f>
        <v>#NUM!</v>
      </c>
      <c r="AB84" s="492" t="e">
        <f>SQRT(AA84^2+AA85^2)</f>
        <v>#NUM!</v>
      </c>
      <c r="AC84" s="491" t="e">
        <f>(AA84^2+AA85^2)^2/(AA84^4/E84+AA85^4/E85)</f>
        <v>#NUM!</v>
      </c>
      <c r="AD84" s="492">
        <f>D84-D85</f>
        <v>0</v>
      </c>
    </row>
    <row r="85" spans="2:30" s="87" customFormat="1" ht="18" customHeight="1">
      <c r="B85" s="83"/>
      <c r="C85" s="84" t="s">
        <v>8</v>
      </c>
      <c r="D85" s="75"/>
      <c r="E85" s="75"/>
      <c r="F85" s="75"/>
      <c r="G85" s="75"/>
      <c r="H85" s="75"/>
      <c r="I85" s="88">
        <f>I84</f>
        <v>0</v>
      </c>
      <c r="J85" s="453"/>
      <c r="K85" s="521"/>
      <c r="L85" s="453"/>
      <c r="M85" s="470"/>
      <c r="N85" s="480"/>
      <c r="O85" s="480"/>
      <c r="P85" s="480"/>
      <c r="Q85" s="472"/>
      <c r="R85" s="472"/>
      <c r="S85" s="499" t="e">
        <f>IF(S84&lt;$E$36,$D$36,IF(S84&lt;$G$36,$F$36,IF(S84&lt;$I$36,$H$36,IF(S84&lt;$K$36,$J$36,IF(S84&lt;$M$36,$L$36,IF(S84&lt;$O$36,$N$36,$P$36))))))</f>
        <v>#NUM!</v>
      </c>
      <c r="T85" s="500"/>
      <c r="U85" s="499" t="e">
        <f>IF(U84&lt;$E$36,$D$36,IF(U84&lt;$G$36,$F$36,IF(U84&lt;$I$36,$H$36,IF(U84&lt;$K$36,$J$36,IF(U84&lt;$M$36,$L$36,IF(U84&lt;$O$36,$N$36,$P$36))))))</f>
        <v>#NUM!</v>
      </c>
      <c r="V85" s="500"/>
      <c r="W85" s="499" t="e">
        <f>IF(W84&lt;$E$36,$D$36,IF(W84&lt;$G$36,$F$36,IF(W84&lt;$I$36,$H$36,IF(W84&lt;$K$36,$J$36,IF(W84&lt;$M$36,$L$36,IF(W84&lt;$O$36,$N$36,$P$36))))))</f>
        <v>#VALUE!</v>
      </c>
      <c r="X85" s="500"/>
      <c r="Y85" s="85"/>
      <c r="Z85" s="107"/>
      <c r="AA85" s="72" t="e">
        <f>IF(ISNUMBER(H85),H85,(G85-F85)/2)/TINV(1-I85/100,E85)</f>
        <v>#NUM!</v>
      </c>
      <c r="AB85" s="492"/>
      <c r="AC85" s="491"/>
      <c r="AD85" s="492"/>
    </row>
    <row r="86" spans="2:30" ht="12.75">
      <c r="B86" s="44"/>
      <c r="C86" s="30"/>
      <c r="D86" s="30"/>
      <c r="E86" s="31"/>
      <c r="F86" s="32"/>
      <c r="G86" s="33"/>
      <c r="H86" s="30"/>
      <c r="I86" s="30"/>
      <c r="J86" s="30"/>
      <c r="K86" s="30"/>
      <c r="L86" s="30"/>
      <c r="M86" s="20" t="str">
        <f>"("&amp;C84&amp;"+"&amp;C85&amp;")/2"</f>
        <v>(A+B)/2</v>
      </c>
      <c r="N86" s="23"/>
      <c r="O86" s="73"/>
      <c r="P86" s="73"/>
      <c r="Q86" s="206" t="e">
        <f>IF(AND(W84&gt;$E$36,Y84&gt;$I$36/$K$36/($E$36/$O$36)),"Less conservative clinical: '"&amp;S85&amp;" beneficial, consider using' because odds ratio is &gt;"&amp;ROUND($I$36/$K$36/($E$36/$O$36),1)&amp;".","")</f>
        <v>#VALUE!</v>
      </c>
      <c r="R86" s="204"/>
      <c r="S86" s="204"/>
      <c r="T86" s="204"/>
      <c r="U86" s="204"/>
      <c r="V86" s="204"/>
      <c r="W86" s="204"/>
      <c r="X86" s="205"/>
      <c r="Y86" s="85"/>
      <c r="Z86" s="41"/>
      <c r="AA86" s="3" t="s">
        <v>4</v>
      </c>
      <c r="AB86" s="4" t="s">
        <v>5</v>
      </c>
      <c r="AC86" s="5" t="s">
        <v>6</v>
      </c>
      <c r="AD86" s="5" t="s">
        <v>19</v>
      </c>
    </row>
    <row r="87" spans="2:30" ht="18" customHeight="1">
      <c r="B87" s="44"/>
      <c r="C87" s="30"/>
      <c r="D87" s="30"/>
      <c r="E87" s="31"/>
      <c r="F87" s="32"/>
      <c r="G87" s="33"/>
      <c r="H87" s="30"/>
      <c r="I87" s="30"/>
      <c r="J87" s="30"/>
      <c r="K87" s="30"/>
      <c r="L87" s="30"/>
      <c r="M87" s="450">
        <f>AD87</f>
        <v>0</v>
      </c>
      <c r="N87" s="473" t="e">
        <f>AD87-TINV((100-J84)/100,AC87)*AB87</f>
        <v>#NUM!</v>
      </c>
      <c r="O87" s="473" t="e">
        <f>AD87+TINV((100-J84)/100,AC87)*AB87</f>
        <v>#NUM!</v>
      </c>
      <c r="P87" s="473" t="e">
        <f>(O87-N87)/2</f>
        <v>#NUM!</v>
      </c>
      <c r="Q87" s="476" t="e">
        <f>IF(S87&lt;$I$36,IF(MAX(U87,W87)=U87,U88&amp;" trivial; don't use",W88&amp;" harmful; don't use"),IF(W87&lt;$E$36,S88&amp;" beneficial; consider using","unclear; don't use; get more data"))</f>
        <v>#NUM!</v>
      </c>
      <c r="R87" s="476" t="e">
        <f>IF(MIN(S87,W87)&gt;$G$36,"unclear; get more data",IF(MAX(S87,U87,W87)=S87,S88&amp;" "&amp;K83,IF(MAX(S87,U87,W87)=U87,U88&amp;" trivial",W88&amp;" "&amp;L83)))</f>
        <v>#NUM!</v>
      </c>
      <c r="S87" s="128" t="e">
        <f>100*IF(K84&gt;0,IF(AD87-K84&gt;0,1-TDIST((AD87-K84)/AB87,AC87,1),TDIST((K84-AD87)/AB87,AC87,1)),IF(AD87-K84&gt;0,TDIST((AD87-K84)/AB87,AC87,1),1-TDIST((K84-AD87)/AB87,AC87,1)))</f>
        <v>#NUM!</v>
      </c>
      <c r="T87" s="129" t="s">
        <v>65</v>
      </c>
      <c r="U87" s="128" t="e">
        <f>100-S87-W87</f>
        <v>#NUM!</v>
      </c>
      <c r="V87" s="129" t="s">
        <v>65</v>
      </c>
      <c r="W87" s="128" t="e">
        <f>100*IF(L84&gt;0,IF(AD87-L84&gt;0,1-TDIST((AD87-L84)/AB87,AC87,1),TDIST((L84-AD87)/AB87,AC87,1)),IF(AD87-L84&gt;0,TDIST((AD87-L84)/AB87,AC87,1),1-TDIST((L84-AD87)/AB87,AC87,1)))</f>
        <v>#VALUE!</v>
      </c>
      <c r="X87" s="129" t="s">
        <v>65</v>
      </c>
      <c r="Y87" s="186" t="e">
        <f>S87/(100-S87)/(W87/(100-W87))</f>
        <v>#NUM!</v>
      </c>
      <c r="Z87" s="41"/>
      <c r="AA87" s="6" t="e">
        <f>IF(ISNUMBER(H84),H84,(G84-F84)/2)/TINV(1-I84/100,E84)</f>
        <v>#NUM!</v>
      </c>
      <c r="AB87" s="492" t="e">
        <f>SQRT(AA87^2+AA88^2)/2</f>
        <v>#NUM!</v>
      </c>
      <c r="AC87" s="491" t="e">
        <f>(AA87^2+AA88^2)^2/(AA87^4/E84+AA88^4/E85)</f>
        <v>#NUM!</v>
      </c>
      <c r="AD87" s="492">
        <f>(D84+D85)/2</f>
        <v>0</v>
      </c>
    </row>
    <row r="88" spans="2:30" ht="18" customHeight="1">
      <c r="B88" s="44"/>
      <c r="C88" s="30"/>
      <c r="D88" s="30"/>
      <c r="E88" s="31"/>
      <c r="F88" s="32"/>
      <c r="G88" s="32"/>
      <c r="H88" s="32"/>
      <c r="I88" s="30"/>
      <c r="J88" s="30"/>
      <c r="K88" s="30"/>
      <c r="L88" s="30"/>
      <c r="M88" s="473"/>
      <c r="N88" s="473"/>
      <c r="O88" s="473"/>
      <c r="P88" s="473"/>
      <c r="Q88" s="501"/>
      <c r="R88" s="501"/>
      <c r="S88" s="525" t="e">
        <f>IF(S87&lt;$E$36,$D$36,IF(S87&lt;$G$36,$F$36,IF(S87&lt;$I$36,$H$36,IF(S87&lt;$K$36,$J$36,IF(S87&lt;$M$36,$L$36,IF(S87&lt;$O$36,$N$36,$P$36))))))</f>
        <v>#NUM!</v>
      </c>
      <c r="T88" s="526"/>
      <c r="U88" s="525" t="e">
        <f>IF(U87&lt;$E$36,$D$36,IF(U87&lt;$G$36,$F$36,IF(U87&lt;$I$36,$H$36,IF(U87&lt;$K$36,$J$36,IF(U87&lt;$M$36,$L$36,IF(U87&lt;$O$36,$N$36,$P$36))))))</f>
        <v>#NUM!</v>
      </c>
      <c r="V88" s="526"/>
      <c r="W88" s="525" t="e">
        <f>IF(W87&lt;$E$36,$D$36,IF(W87&lt;$G$36,$F$36,IF(W87&lt;$I$36,$H$36,IF(W87&lt;$K$36,$J$36,IF(W87&lt;$M$36,$L$36,IF(W87&lt;$O$36,$N$36,$P$36))))))</f>
        <v>#VALUE!</v>
      </c>
      <c r="X88" s="526"/>
      <c r="Y88" s="45"/>
      <c r="Z88" s="41"/>
      <c r="AA88" s="6" t="e">
        <f>IF(ISNUMBER(H85),H85,(G85-F85)/2)/TINV(1-I85/100,E85)</f>
        <v>#NUM!</v>
      </c>
      <c r="AB88" s="492"/>
      <c r="AC88" s="491"/>
      <c r="AD88" s="492"/>
    </row>
    <row r="89" spans="2:26" ht="12" customHeight="1" thickBot="1">
      <c r="B89" s="46"/>
      <c r="C89" s="47"/>
      <c r="D89" s="47"/>
      <c r="E89" s="56"/>
      <c r="F89" s="57"/>
      <c r="G89" s="47"/>
      <c r="H89" s="47"/>
      <c r="I89" s="47"/>
      <c r="J89" s="47"/>
      <c r="K89" s="47"/>
      <c r="L89" s="47"/>
      <c r="M89" s="47"/>
      <c r="N89" s="212"/>
      <c r="O89" s="213"/>
      <c r="P89" s="213"/>
      <c r="Q89" s="214" t="e">
        <f>IF(AND(W87&gt;$E$36,Y87&gt;$I$36/$K$36/($E$36/$O$36)),"Less conservative clinical: '"&amp;S88&amp;" beneficial, consider using' because odds ratio is &gt;"&amp;ROUND($I$36/$K$36/($E$36/$O$36),1)&amp;".","")</f>
        <v>#VALUE!</v>
      </c>
      <c r="R89" s="215"/>
      <c r="S89" s="215"/>
      <c r="T89" s="215"/>
      <c r="U89" s="215"/>
      <c r="V89" s="215"/>
      <c r="W89" s="215"/>
      <c r="X89" s="216"/>
      <c r="Y89" s="48"/>
      <c r="Z89" s="108"/>
    </row>
    <row r="90" spans="5:26" ht="13.5" thickBot="1">
      <c r="E90" s="7"/>
      <c r="F90" s="15"/>
      <c r="Y90" s="1"/>
      <c r="Z90" s="108"/>
    </row>
    <row r="91" spans="1:26" s="21" customFormat="1" ht="15.75" customHeight="1">
      <c r="A91" s="125"/>
      <c r="B91" s="164" t="s">
        <v>132</v>
      </c>
      <c r="C91" s="168"/>
      <c r="D91" s="166"/>
      <c r="E91" s="166"/>
      <c r="F91" s="166"/>
      <c r="G91" s="166"/>
      <c r="H91" s="166"/>
      <c r="I91" s="166"/>
      <c r="J91" s="166"/>
      <c r="K91" s="166"/>
      <c r="L91" s="166"/>
      <c r="M91" s="166"/>
      <c r="N91" s="166"/>
      <c r="O91" s="166"/>
      <c r="P91" s="166"/>
      <c r="Q91" s="166"/>
      <c r="R91" s="166"/>
      <c r="S91" s="166"/>
      <c r="T91" s="166"/>
      <c r="U91" s="166"/>
      <c r="V91" s="166"/>
      <c r="W91" s="166"/>
      <c r="X91" s="166"/>
      <c r="Y91" s="167"/>
      <c r="Z91" s="106"/>
    </row>
    <row r="92" spans="1:25" ht="12.75" customHeight="1">
      <c r="A92" s="125"/>
      <c r="B92" s="2" t="s">
        <v>102</v>
      </c>
      <c r="D92" s="9"/>
      <c r="E92" s="9"/>
      <c r="F92" s="9"/>
      <c r="G92" s="9"/>
      <c r="H92" s="9"/>
      <c r="I92" s="9"/>
      <c r="J92" s="9"/>
      <c r="K92" s="9"/>
      <c r="L92" s="9"/>
      <c r="M92" s="9"/>
      <c r="N92" s="9"/>
      <c r="O92" s="9"/>
      <c r="P92" s="9"/>
      <c r="Q92" s="9"/>
      <c r="R92" s="9"/>
      <c r="S92" s="9"/>
      <c r="T92" s="9"/>
      <c r="U92" s="9"/>
      <c r="V92" s="9"/>
      <c r="W92" s="9"/>
      <c r="X92" s="9"/>
      <c r="Y92" s="125"/>
    </row>
    <row r="93" spans="1:25" ht="12.75" customHeight="1">
      <c r="A93" s="125"/>
      <c r="B93" s="2" t="s">
        <v>81</v>
      </c>
      <c r="D93" s="9"/>
      <c r="E93" s="9"/>
      <c r="F93" s="9"/>
      <c r="G93" s="9"/>
      <c r="H93" s="9"/>
      <c r="I93" s="9"/>
      <c r="J93" s="9"/>
      <c r="K93" s="9"/>
      <c r="L93" s="9"/>
      <c r="M93" s="9"/>
      <c r="N93" s="9"/>
      <c r="O93" s="9"/>
      <c r="P93" s="9"/>
      <c r="Q93" s="9"/>
      <c r="R93" s="2"/>
      <c r="S93" s="2"/>
      <c r="T93" s="9"/>
      <c r="U93" s="9"/>
      <c r="V93" s="9"/>
      <c r="W93" s="9"/>
      <c r="X93" s="9"/>
      <c r="Y93" s="125"/>
    </row>
    <row r="94" spans="1:25" ht="12.75" customHeight="1">
      <c r="A94" s="125"/>
      <c r="B94" s="2" t="s">
        <v>82</v>
      </c>
      <c r="D94" s="9"/>
      <c r="E94" s="9"/>
      <c r="F94" s="9"/>
      <c r="G94" s="9"/>
      <c r="H94" s="9"/>
      <c r="I94" s="9"/>
      <c r="J94" s="9"/>
      <c r="K94" s="9"/>
      <c r="L94" s="9"/>
      <c r="M94" s="9"/>
      <c r="N94" s="9"/>
      <c r="O94" s="9"/>
      <c r="P94" s="9"/>
      <c r="Q94" s="9"/>
      <c r="R94" s="2"/>
      <c r="S94" s="2"/>
      <c r="T94" s="9"/>
      <c r="U94" s="9"/>
      <c r="V94" s="9"/>
      <c r="W94" s="9"/>
      <c r="X94" s="9"/>
      <c r="Y94" s="125"/>
    </row>
    <row r="95" spans="1:25" ht="12.75" customHeight="1">
      <c r="A95" s="125"/>
      <c r="B95" s="2" t="s">
        <v>287</v>
      </c>
      <c r="D95" s="9"/>
      <c r="E95" s="9"/>
      <c r="F95" s="9"/>
      <c r="G95" s="9"/>
      <c r="H95" s="9"/>
      <c r="I95" s="9"/>
      <c r="J95" s="9"/>
      <c r="K95" s="9"/>
      <c r="L95" s="9"/>
      <c r="M95" s="9"/>
      <c r="N95" s="9"/>
      <c r="O95" s="9"/>
      <c r="P95" s="9"/>
      <c r="Q95" s="9"/>
      <c r="R95" s="2"/>
      <c r="S95" s="2"/>
      <c r="T95" s="9"/>
      <c r="U95" s="9"/>
      <c r="V95" s="9"/>
      <c r="W95" s="9"/>
      <c r="X95" s="9"/>
      <c r="Y95" s="125"/>
    </row>
    <row r="96" spans="1:25" ht="12.75" customHeight="1">
      <c r="A96" s="125"/>
      <c r="B96" s="2" t="s">
        <v>103</v>
      </c>
      <c r="D96" s="9"/>
      <c r="E96" s="9"/>
      <c r="F96" s="9"/>
      <c r="G96" s="9"/>
      <c r="H96" s="9"/>
      <c r="I96" s="9"/>
      <c r="J96" s="9"/>
      <c r="K96" s="9"/>
      <c r="L96" s="9"/>
      <c r="M96" s="9"/>
      <c r="N96" s="9"/>
      <c r="O96" s="9"/>
      <c r="P96" s="9"/>
      <c r="Q96" s="9"/>
      <c r="R96" s="2"/>
      <c r="S96" s="2"/>
      <c r="T96" s="9"/>
      <c r="U96" s="9"/>
      <c r="V96" s="9"/>
      <c r="W96" s="9"/>
      <c r="X96" s="9"/>
      <c r="Y96" s="125"/>
    </row>
    <row r="97" spans="1:25" ht="12.75" customHeight="1">
      <c r="A97" s="125"/>
      <c r="B97" s="1" t="s">
        <v>285</v>
      </c>
      <c r="Y97" s="125"/>
    </row>
    <row r="98" spans="2:25" ht="12.75" customHeight="1">
      <c r="B98" s="140" t="s">
        <v>48</v>
      </c>
      <c r="D98" s="12"/>
      <c r="E98" s="12"/>
      <c r="F98" s="12"/>
      <c r="G98" s="12"/>
      <c r="H98" s="12"/>
      <c r="I98" s="12"/>
      <c r="J98" s="12"/>
      <c r="K98" s="12"/>
      <c r="L98" s="12"/>
      <c r="M98" s="12"/>
      <c r="N98" s="12"/>
      <c r="O98" s="12"/>
      <c r="P98" s="12"/>
      <c r="Q98" s="12"/>
      <c r="R98" s="21"/>
      <c r="S98" s="21"/>
      <c r="T98" s="12"/>
      <c r="U98" s="12"/>
      <c r="V98" s="12"/>
      <c r="W98" s="12"/>
      <c r="X98" s="12"/>
      <c r="Y98" s="125"/>
    </row>
    <row r="99" spans="2:25" ht="12" customHeight="1" thickBot="1">
      <c r="B99" s="42"/>
      <c r="C99" s="53"/>
      <c r="D99" s="14"/>
      <c r="E99" s="14"/>
      <c r="F99" s="14"/>
      <c r="G99" s="14"/>
      <c r="H99" s="14"/>
      <c r="I99" s="14"/>
      <c r="J99" s="14"/>
      <c r="K99" s="14"/>
      <c r="L99" s="18"/>
      <c r="M99" s="14"/>
      <c r="N99" s="14"/>
      <c r="O99" s="14"/>
      <c r="P99" s="14"/>
      <c r="Q99" s="14"/>
      <c r="R99" s="14"/>
      <c r="S99" s="14"/>
      <c r="T99" s="14"/>
      <c r="U99" s="14"/>
      <c r="V99" s="14"/>
      <c r="W99" s="14"/>
      <c r="X99" s="14"/>
      <c r="Y99" s="125"/>
    </row>
    <row r="100" spans="2:26" ht="9" customHeight="1">
      <c r="B100" s="207"/>
      <c r="C100" s="210"/>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1"/>
      <c r="Z100" s="41"/>
    </row>
    <row r="101" spans="2:28" ht="12.75" customHeight="1">
      <c r="B101" s="44"/>
      <c r="C101" s="446" t="s">
        <v>133</v>
      </c>
      <c r="D101" s="447"/>
      <c r="E101" s="447"/>
      <c r="F101" s="447"/>
      <c r="G101" s="447"/>
      <c r="H101" s="447"/>
      <c r="I101" s="448"/>
      <c r="J101" s="35"/>
      <c r="K101" s="497" t="s">
        <v>122</v>
      </c>
      <c r="L101" s="498"/>
      <c r="M101" s="446" t="s">
        <v>68</v>
      </c>
      <c r="N101" s="447"/>
      <c r="O101" s="447"/>
      <c r="P101" s="447"/>
      <c r="Q101" s="447"/>
      <c r="R101" s="448"/>
      <c r="S101" s="516" t="s">
        <v>64</v>
      </c>
      <c r="T101" s="517"/>
      <c r="U101" s="517"/>
      <c r="V101" s="517"/>
      <c r="W101" s="517"/>
      <c r="X101" s="518"/>
      <c r="Y101" s="45"/>
      <c r="Z101" s="41"/>
      <c r="AA101" s="1"/>
      <c r="AB101" s="1"/>
    </row>
    <row r="102" spans="2:28" ht="12.75" customHeight="1">
      <c r="B102" s="44"/>
      <c r="C102" s="449" t="s">
        <v>18</v>
      </c>
      <c r="D102" s="456" t="s">
        <v>52</v>
      </c>
      <c r="E102" s="468" t="s">
        <v>21</v>
      </c>
      <c r="F102" s="458" t="s">
        <v>159</v>
      </c>
      <c r="G102" s="459"/>
      <c r="H102" s="460"/>
      <c r="I102" s="463" t="s">
        <v>185</v>
      </c>
      <c r="J102" s="463"/>
      <c r="K102" s="101" t="s">
        <v>72</v>
      </c>
      <c r="L102" s="100" t="s">
        <v>71</v>
      </c>
      <c r="M102" s="23" t="s">
        <v>19</v>
      </c>
      <c r="N102" s="26" t="str">
        <f>J104&amp;"% compatibility limits"</f>
        <v>90% compatibility limits</v>
      </c>
      <c r="O102" s="27"/>
      <c r="P102" s="28"/>
      <c r="Q102" s="497" t="s">
        <v>162</v>
      </c>
      <c r="R102" s="498"/>
      <c r="S102" s="504" t="str">
        <f>"...beneficial or
substantially "&amp;K103</f>
        <v>...beneficial or
substantially &gt;</v>
      </c>
      <c r="T102" s="505"/>
      <c r="U102" s="508" t="s">
        <v>70</v>
      </c>
      <c r="V102" s="509"/>
      <c r="W102" s="512" t="str">
        <f>"...harmful or 
substantially "&amp;L103</f>
        <v>...harmful or 
substantially &lt;</v>
      </c>
      <c r="X102" s="513"/>
      <c r="Y102" s="461" t="s">
        <v>125</v>
      </c>
      <c r="Z102" s="41"/>
      <c r="AA102" s="1"/>
      <c r="AB102" s="1"/>
    </row>
    <row r="103" spans="2:30" ht="13.5" customHeight="1">
      <c r="B103" s="44"/>
      <c r="C103" s="449"/>
      <c r="D103" s="457"/>
      <c r="E103" s="467"/>
      <c r="F103" s="38" t="s">
        <v>15</v>
      </c>
      <c r="G103" s="39" t="s">
        <v>16</v>
      </c>
      <c r="H103" s="37" t="s">
        <v>96</v>
      </c>
      <c r="I103" s="36" t="s">
        <v>3</v>
      </c>
      <c r="J103" s="25" t="s">
        <v>20</v>
      </c>
      <c r="K103" s="123" t="str">
        <f>IF(ISBLANK(K104),"???",IF(K104&lt;1,"&lt;","&gt;"))</f>
        <v>&gt;</v>
      </c>
      <c r="L103" s="124" t="str">
        <f>IF(TYPE(L104)=2,"???",IF(L104&lt;1,"&lt;","&gt;"))</f>
        <v>&lt;</v>
      </c>
      <c r="M103" s="19" t="str">
        <f>C104&amp;"/"&amp;C105</f>
        <v>A/B</v>
      </c>
      <c r="N103" s="25" t="s">
        <v>0</v>
      </c>
      <c r="O103" s="25" t="s">
        <v>1</v>
      </c>
      <c r="P103" s="16" t="s">
        <v>14</v>
      </c>
      <c r="Q103" s="82" t="s">
        <v>66</v>
      </c>
      <c r="R103" s="74" t="s">
        <v>138</v>
      </c>
      <c r="S103" s="506"/>
      <c r="T103" s="507"/>
      <c r="U103" s="510"/>
      <c r="V103" s="511"/>
      <c r="W103" s="514"/>
      <c r="X103" s="515"/>
      <c r="Y103" s="462"/>
      <c r="Z103" s="41"/>
      <c r="AA103" s="3" t="s">
        <v>4</v>
      </c>
      <c r="AB103" s="4" t="s">
        <v>5</v>
      </c>
      <c r="AC103" s="5" t="s">
        <v>6</v>
      </c>
      <c r="AD103" s="5" t="s">
        <v>19</v>
      </c>
    </row>
    <row r="104" spans="2:30" s="87" customFormat="1" ht="18" customHeight="1">
      <c r="B104" s="83"/>
      <c r="C104" s="84" t="s">
        <v>7</v>
      </c>
      <c r="D104" s="75">
        <v>1.07</v>
      </c>
      <c r="E104" s="75">
        <v>12</v>
      </c>
      <c r="F104" s="75"/>
      <c r="G104" s="75"/>
      <c r="H104" s="75">
        <v>1.093</v>
      </c>
      <c r="I104" s="75">
        <v>90</v>
      </c>
      <c r="J104" s="452">
        <f>100-2*$G$36</f>
        <v>90</v>
      </c>
      <c r="K104" s="533">
        <v>1.1</v>
      </c>
      <c r="L104" s="478">
        <f>IF(ISBLANK(K104),"",1/K104)</f>
        <v>0.9090909090909091</v>
      </c>
      <c r="M104" s="481">
        <f>EXP(AD104)</f>
        <v>0.8699186991869919</v>
      </c>
      <c r="N104" s="481">
        <f>EXP(AD104-TINV((100-J104)/100,AC104)*AB104)</f>
        <v>0.7594555127440383</v>
      </c>
      <c r="O104" s="481">
        <f>EXP(AD104+TINV((100-J104)/100,AC104)*AB104)</f>
        <v>0.9964488116767951</v>
      </c>
      <c r="P104" s="502">
        <f>SQRT(O104/N104)</f>
        <v>1.145450503142484</v>
      </c>
      <c r="Q104" s="471" t="str">
        <f>IF(S104&lt;$I$36,IF(MAX(U104,W104)=U104,U105&amp;" trivial; don't use",W105&amp;" harmful; don't use"),IF(W104&lt;$E$36,S105&amp;" beneficial; consider using","unclear; don't use; get more data"))</f>
        <v>possibly harmful; don't use</v>
      </c>
      <c r="R104" s="471" t="str">
        <f>IF(MIN(S104,W104)&gt;$G$36,"unclear; get more data",IF(MAX(S104,U104,W104)=S104,S105&amp;" "&amp;K103,IF(MAX(S104,U104,W104)=U104,U105&amp;" trivial",W105&amp;" "&amp;L103)))</f>
        <v>possibly &lt;</v>
      </c>
      <c r="S104" s="126">
        <f>100*IF(LN(K104)&gt;0,IF(AD104-LN(K104)&gt;0,1-TDIST((AD104-LN(K104))/AB104,AC104,1),TDIST((LN(K104)-AD104)/AB104,AC104,1)),IF(AD104-LN(K104)&gt;0,TDIST((AD104-LN(K104))/AB104,AC104,1),1-TDIST((LN(K104)-AD104)/AB104,AC104,1)))</f>
        <v>0.3871658032106237</v>
      </c>
      <c r="T104" s="127" t="s">
        <v>65</v>
      </c>
      <c r="U104" s="126">
        <f>100-S104-W104</f>
        <v>28.650737434731454</v>
      </c>
      <c r="V104" s="127" t="s">
        <v>65</v>
      </c>
      <c r="W104" s="126">
        <f>100*IF(LN(L104)&gt;0,IF(AD104-LN(L104)&gt;0,1-TDIST((AD104-LN(L104))/AB104,AC104,1),TDIST((LN(L104)-AD104)/AB104,AC104,1)),IF(AD104-LN(L104)&gt;0,TDIST((AD104-LN(L104))/AB104,AC104,1),1-TDIST((LN(L104)-AD104)/AB104,AC104,1)))</f>
        <v>70.96209676205793</v>
      </c>
      <c r="X104" s="127" t="s">
        <v>65</v>
      </c>
      <c r="Y104" s="185">
        <f>S104/(100-S104)/(W104/(100-W104))</f>
        <v>0.0015904517866031384</v>
      </c>
      <c r="Z104" s="107"/>
      <c r="AA104" s="72">
        <f>LN(IF(ISNUMBER(H104),H104,SQRT(G104/F104)))/TINV(1-I104/100,E104)</f>
        <v>0.049894422991695095</v>
      </c>
      <c r="AB104" s="492">
        <f>SQRT(AA104^2+AA105^2)</f>
        <v>0.0783120132571889</v>
      </c>
      <c r="AC104" s="491">
        <f>(AA104^2+AA105^2)^2/(AA104^4/E104+AA105^4/E105)</f>
        <v>18.887498641763457</v>
      </c>
      <c r="AD104" s="492">
        <f>LN(D104)-LN(D105)</f>
        <v>-0.13935552091051126</v>
      </c>
    </row>
    <row r="105" spans="2:30" s="87" customFormat="1" ht="18" customHeight="1">
      <c r="B105" s="83"/>
      <c r="C105" s="84" t="s">
        <v>8</v>
      </c>
      <c r="D105" s="75">
        <v>1.23</v>
      </c>
      <c r="E105" s="75">
        <v>9</v>
      </c>
      <c r="F105" s="75"/>
      <c r="G105" s="75"/>
      <c r="H105" s="75">
        <v>1.117</v>
      </c>
      <c r="I105" s="88">
        <f>I104</f>
        <v>90</v>
      </c>
      <c r="J105" s="453"/>
      <c r="K105" s="534"/>
      <c r="L105" s="479"/>
      <c r="M105" s="482"/>
      <c r="N105" s="482"/>
      <c r="O105" s="482"/>
      <c r="P105" s="503"/>
      <c r="Q105" s="472"/>
      <c r="R105" s="472"/>
      <c r="S105" s="499" t="str">
        <f>IF(S104&lt;$E$36,$D$36,IF(S104&lt;$G$36,$F$36,IF(S104&lt;$I$36,$H$36,IF(S104&lt;$K$36,$J$36,IF(S104&lt;$M$36,$L$36,IF(S104&lt;$O$36,$N$36,$P$36))))))</f>
        <v>most unlikely</v>
      </c>
      <c r="T105" s="500"/>
      <c r="U105" s="499" t="str">
        <f>IF(U104&lt;$E$36,$D$36,IF(U104&lt;$G$36,$F$36,IF(U104&lt;$I$36,$H$36,IF(U104&lt;$K$36,$J$36,IF(U104&lt;$M$36,$L$36,IF(U104&lt;$O$36,$N$36,$P$36))))))</f>
        <v>possibly</v>
      </c>
      <c r="V105" s="500"/>
      <c r="W105" s="499" t="str">
        <f>IF(W104&lt;$E$36,$D$36,IF(W104&lt;$G$36,$F$36,IF(W104&lt;$I$36,$H$36,IF(W104&lt;$K$36,$J$36,IF(W104&lt;$M$36,$L$36,IF(W104&lt;$O$36,$N$36,$P$36))))))</f>
        <v>possibly</v>
      </c>
      <c r="X105" s="500"/>
      <c r="Y105" s="85"/>
      <c r="Z105" s="107"/>
      <c r="AA105" s="72">
        <f>LN(IF(ISNUMBER(H105),H105,SQRT(G105/F105)))/TINV(1-I105/100,E105)</f>
        <v>0.06035990370038654</v>
      </c>
      <c r="AB105" s="492"/>
      <c r="AC105" s="491"/>
      <c r="AD105" s="492"/>
    </row>
    <row r="106" spans="2:30" ht="12.75">
      <c r="B106" s="44"/>
      <c r="C106" s="30"/>
      <c r="D106" s="30"/>
      <c r="E106" s="31"/>
      <c r="F106" s="32"/>
      <c r="G106" s="33"/>
      <c r="H106" s="30"/>
      <c r="I106" s="30"/>
      <c r="J106" s="30"/>
      <c r="K106" s="30"/>
      <c r="L106" s="30"/>
      <c r="M106" s="20" t="str">
        <f>"√("&amp;C104&amp;"*"&amp;C105&amp;")"</f>
        <v>√(A*B)</v>
      </c>
      <c r="N106" s="23"/>
      <c r="O106" s="73"/>
      <c r="P106" s="73"/>
      <c r="Q106" s="206">
        <f>IF(AND(W104&gt;$E$36,Y104&gt;$I$36/$K$36/($E$36/$O$36)),"Less conservative clinical: '"&amp;S105&amp;" beneficial, consider using' because odds ratio is &gt;"&amp;ROUND($I$36/$K$36/($E$36/$O$36),1)&amp;".","")</f>
      </c>
      <c r="R106" s="204"/>
      <c r="S106" s="204"/>
      <c r="T106" s="204"/>
      <c r="U106" s="204"/>
      <c r="V106" s="204"/>
      <c r="W106" s="204"/>
      <c r="X106" s="205"/>
      <c r="Y106" s="85"/>
      <c r="Z106" s="41"/>
      <c r="AA106" s="3" t="s">
        <v>4</v>
      </c>
      <c r="AB106" s="4" t="s">
        <v>5</v>
      </c>
      <c r="AC106" s="5" t="s">
        <v>6</v>
      </c>
      <c r="AD106" s="5" t="s">
        <v>19</v>
      </c>
    </row>
    <row r="107" spans="2:30" s="87" customFormat="1" ht="18" customHeight="1">
      <c r="B107" s="83"/>
      <c r="C107" s="89"/>
      <c r="D107" s="89"/>
      <c r="E107" s="90"/>
      <c r="F107" s="91"/>
      <c r="G107" s="92"/>
      <c r="H107" s="89"/>
      <c r="I107" s="89"/>
      <c r="J107" s="89"/>
      <c r="K107" s="89"/>
      <c r="L107" s="89"/>
      <c r="M107" s="485">
        <f>EXP(AD107)</f>
        <v>1.147214016650773</v>
      </c>
      <c r="N107" s="485">
        <f>EXP(AD107-TINV((100-J104)/100,AC107)*AB107)</f>
        <v>1.0719049609132592</v>
      </c>
      <c r="O107" s="485">
        <f>EXP(AD107+TINV((100-J104)/100,AC107)*AB107)</f>
        <v>1.2278140767990173</v>
      </c>
      <c r="P107" s="535">
        <f>SQRT(O107/N107)</f>
        <v>1.0702572135437742</v>
      </c>
      <c r="Q107" s="501" t="str">
        <f>IF(S107&lt;$I$36,IF(MAX(U107,W107)=U107,U108&amp;" trivial; don't use",W108&amp;" harmful; don't use"),IF(W107&lt;$E$36,S108&amp;" beneficial; consider using","unclear; don't use; get more data"))</f>
        <v>likely beneficial; consider using</v>
      </c>
      <c r="R107" s="501" t="str">
        <f>IF(MIN(S107,W107)&gt;$G$36,"unclear; get more data",IF(MAX(S107,U107,W107)=S107,S108&amp;" "&amp;K103,IF(MAX(S107,U107,W107)=U107,U108&amp;" trivial",W108&amp;" "&amp;L103)))</f>
        <v>likely &gt;</v>
      </c>
      <c r="S107" s="128">
        <f>100*IF(LN(K104)&gt;0,IF(AD107-LN(K104)&gt;0,1-TDIST((AD107-LN(K104))/AB107,AC107,1),TDIST((LN(K104)-AD107)/AB107,AC107,1)),IF(AD107-LN(K104)&gt;0,TDIST((AD107-LN(K104))/AB107,AC107,1),1-TDIST((LN(K104)-AD107)/AB107,AC107,1)))</f>
        <v>85.13427944905064</v>
      </c>
      <c r="T107" s="129" t="s">
        <v>65</v>
      </c>
      <c r="U107" s="128">
        <f>100-S107-W107</f>
        <v>14.86508522803418</v>
      </c>
      <c r="V107" s="129" t="s">
        <v>65</v>
      </c>
      <c r="W107" s="128">
        <f>100*IF(LN(L104)&gt;0,IF(AD107-LN(L104)&gt;0,1-TDIST((AD107-LN(L104))/AB107,AC107,1),TDIST((LN(L104)-AD107)/AB107,AC107,1)),IF(AD107-LN(L104)&gt;0,TDIST((AD107-LN(L104))/AB107,AC107,1),1-TDIST((LN(L104)-AD107)/AB107,AC107,1)))</f>
        <v>0.0006353229151814703</v>
      </c>
      <c r="X107" s="129" t="s">
        <v>65</v>
      </c>
      <c r="Y107" s="186">
        <f>S107/(100-S107)/(W107/(100-W107))</f>
        <v>901407.6113908114</v>
      </c>
      <c r="Z107" s="107"/>
      <c r="AA107" s="72">
        <f>LN(IF(ISNUMBER(H104),H104,SQRT(G104/F104)))/TINV(1-I104/100,E104)</f>
        <v>0.049894422991695095</v>
      </c>
      <c r="AB107" s="492">
        <f>SQRT(AA107^2+AA108^2)/2</f>
        <v>0.03915600662859445</v>
      </c>
      <c r="AC107" s="491">
        <f>(AA107^2+AA108^2)^2/(AA107^4/E104+AA108^4/E105)</f>
        <v>18.887498641763457</v>
      </c>
      <c r="AD107" s="495">
        <f>(LN(D104)+LN(D105))/2</f>
        <v>0.1373364089290705</v>
      </c>
    </row>
    <row r="108" spans="2:30" s="87" customFormat="1" ht="18" customHeight="1">
      <c r="B108" s="83"/>
      <c r="C108" s="89"/>
      <c r="D108" s="89"/>
      <c r="E108" s="90"/>
      <c r="F108" s="91"/>
      <c r="G108" s="91"/>
      <c r="H108" s="91"/>
      <c r="I108" s="89"/>
      <c r="J108" s="89"/>
      <c r="K108" s="89"/>
      <c r="L108" s="89"/>
      <c r="M108" s="486"/>
      <c r="N108" s="486"/>
      <c r="O108" s="486"/>
      <c r="P108" s="536"/>
      <c r="Q108" s="475"/>
      <c r="R108" s="475"/>
      <c r="S108" s="489" t="str">
        <f>IF(S107&lt;$E$36,$D$36,IF(S107&lt;$G$36,$F$36,IF(S107&lt;$I$36,$H$36,IF(S107&lt;$K$36,$J$36,IF(S107&lt;$M$36,$L$36,IF(S107&lt;$O$36,$N$36,$P$36))))))</f>
        <v>likely</v>
      </c>
      <c r="T108" s="490"/>
      <c r="U108" s="489" t="str">
        <f>IF(U107&lt;$E$36,$D$36,IF(U107&lt;$G$36,$F$36,IF(U107&lt;$I$36,$H$36,IF(U107&lt;$K$36,$J$36,IF(U107&lt;$M$36,$L$36,IF(U107&lt;$O$36,$N$36,$P$36))))))</f>
        <v>unlikely</v>
      </c>
      <c r="V108" s="490"/>
      <c r="W108" s="489" t="str">
        <f>IF(W107&lt;$E$36,$D$36,IF(W107&lt;$G$36,$F$36,IF(W107&lt;$I$36,$H$36,IF(W107&lt;$K$36,$J$36,IF(W107&lt;$M$36,$L$36,IF(W107&lt;$O$36,$N$36,$P$36))))))</f>
        <v>most unlikely</v>
      </c>
      <c r="X108" s="490"/>
      <c r="Y108" s="45"/>
      <c r="Z108" s="107"/>
      <c r="AA108" s="72">
        <f>LN(IF(ISNUMBER(H105),H105,SQRT(G105/F105)))/TINV(1-I105/100,E105)</f>
        <v>0.06035990370038654</v>
      </c>
      <c r="AB108" s="492"/>
      <c r="AC108" s="491"/>
      <c r="AD108" s="496"/>
    </row>
    <row r="109" spans="2:27" ht="11.25" customHeight="1" thickBot="1">
      <c r="B109" s="46"/>
      <c r="C109" s="69"/>
      <c r="D109" s="49"/>
      <c r="E109" s="49"/>
      <c r="F109" s="49"/>
      <c r="G109" s="49"/>
      <c r="H109" s="49"/>
      <c r="I109" s="49"/>
      <c r="J109" s="49"/>
      <c r="K109" s="49"/>
      <c r="L109" s="49"/>
      <c r="M109" s="49"/>
      <c r="N109" s="212"/>
      <c r="O109" s="213"/>
      <c r="P109" s="213"/>
      <c r="Q109" s="214">
        <f>IF(AND(W107&gt;$E$36,Y107&gt;$I$36/$K$36/($E$36/$O$36)),"Less conservative clinical: '"&amp;S108&amp;" beneficial, consider using' because odds ratio is &gt;"&amp;ROUND($I$36/$K$36/($E$36/$O$36),1)&amp;".","")</f>
      </c>
      <c r="R109" s="215"/>
      <c r="S109" s="215"/>
      <c r="T109" s="215"/>
      <c r="U109" s="215"/>
      <c r="V109" s="215"/>
      <c r="W109" s="215"/>
      <c r="X109" s="216"/>
      <c r="Y109" s="48"/>
      <c r="Z109" s="41"/>
      <c r="AA109" s="13"/>
    </row>
    <row r="110" spans="2:27" ht="9" customHeight="1">
      <c r="B110" s="207"/>
      <c r="C110" s="208"/>
      <c r="D110" s="209"/>
      <c r="E110" s="209"/>
      <c r="F110" s="209"/>
      <c r="G110" s="209"/>
      <c r="H110" s="209"/>
      <c r="I110" s="209"/>
      <c r="J110" s="209"/>
      <c r="K110" s="209"/>
      <c r="L110" s="209"/>
      <c r="M110" s="209"/>
      <c r="N110" s="209"/>
      <c r="O110" s="209"/>
      <c r="P110" s="209"/>
      <c r="Q110" s="209"/>
      <c r="R110" s="209"/>
      <c r="S110" s="210"/>
      <c r="T110" s="210"/>
      <c r="U110" s="210"/>
      <c r="V110" s="210"/>
      <c r="W110" s="210"/>
      <c r="X110" s="210"/>
      <c r="Y110" s="211"/>
      <c r="Z110" s="41"/>
      <c r="AA110" s="13"/>
    </row>
    <row r="111" spans="2:28" ht="12.75" customHeight="1">
      <c r="B111" s="44"/>
      <c r="C111" s="446" t="s">
        <v>133</v>
      </c>
      <c r="D111" s="447"/>
      <c r="E111" s="447"/>
      <c r="F111" s="447"/>
      <c r="G111" s="447"/>
      <c r="H111" s="447"/>
      <c r="I111" s="448"/>
      <c r="J111" s="35"/>
      <c r="K111" s="497" t="s">
        <v>122</v>
      </c>
      <c r="L111" s="498"/>
      <c r="M111" s="446" t="s">
        <v>68</v>
      </c>
      <c r="N111" s="447"/>
      <c r="O111" s="447"/>
      <c r="P111" s="447"/>
      <c r="Q111" s="447"/>
      <c r="R111" s="448"/>
      <c r="S111" s="516" t="s">
        <v>64</v>
      </c>
      <c r="T111" s="517"/>
      <c r="U111" s="517"/>
      <c r="V111" s="517"/>
      <c r="W111" s="517"/>
      <c r="X111" s="518"/>
      <c r="Y111" s="45"/>
      <c r="Z111" s="41"/>
      <c r="AA111" s="1"/>
      <c r="AB111" s="1"/>
    </row>
    <row r="112" spans="2:28" ht="12.75" customHeight="1">
      <c r="B112" s="44"/>
      <c r="C112" s="449" t="s">
        <v>18</v>
      </c>
      <c r="D112" s="456" t="s">
        <v>52</v>
      </c>
      <c r="E112" s="468" t="s">
        <v>21</v>
      </c>
      <c r="F112" s="458" t="s">
        <v>159</v>
      </c>
      <c r="G112" s="459"/>
      <c r="H112" s="460"/>
      <c r="I112" s="463" t="s">
        <v>185</v>
      </c>
      <c r="J112" s="463"/>
      <c r="K112" s="101" t="s">
        <v>72</v>
      </c>
      <c r="L112" s="100" t="s">
        <v>71</v>
      </c>
      <c r="M112" s="23" t="s">
        <v>19</v>
      </c>
      <c r="N112" s="26" t="str">
        <f>J114&amp;"% compatibility limits"</f>
        <v>90% compatibility limits</v>
      </c>
      <c r="O112" s="27"/>
      <c r="P112" s="28"/>
      <c r="Q112" s="497" t="s">
        <v>162</v>
      </c>
      <c r="R112" s="498"/>
      <c r="S112" s="504" t="str">
        <f>"...beneficial or
substantially "&amp;K113</f>
        <v>...beneficial or
substantially ???</v>
      </c>
      <c r="T112" s="505"/>
      <c r="U112" s="508" t="s">
        <v>70</v>
      </c>
      <c r="V112" s="509"/>
      <c r="W112" s="512" t="str">
        <f>"...harmful or 
substantially "&amp;L113</f>
        <v>...harmful or 
substantially ???</v>
      </c>
      <c r="X112" s="513"/>
      <c r="Y112" s="461" t="s">
        <v>125</v>
      </c>
      <c r="Z112" s="41"/>
      <c r="AA112" s="1"/>
      <c r="AB112" s="1"/>
    </row>
    <row r="113" spans="2:30" ht="13.5" customHeight="1">
      <c r="B113" s="44"/>
      <c r="C113" s="449"/>
      <c r="D113" s="457"/>
      <c r="E113" s="467"/>
      <c r="F113" s="38" t="s">
        <v>15</v>
      </c>
      <c r="G113" s="39" t="s">
        <v>16</v>
      </c>
      <c r="H113" s="37" t="s">
        <v>96</v>
      </c>
      <c r="I113" s="36" t="s">
        <v>3</v>
      </c>
      <c r="J113" s="25" t="s">
        <v>20</v>
      </c>
      <c r="K113" s="123" t="str">
        <f>IF(ISBLANK(K114),"???",IF(K114&lt;1,"&lt;","&gt;"))</f>
        <v>???</v>
      </c>
      <c r="L113" s="124" t="str">
        <f>IF(TYPE(L114)=2,"???",IF(L114&lt;1,"&lt;","&gt;"))</f>
        <v>???</v>
      </c>
      <c r="M113" s="19" t="str">
        <f>C114&amp;"/"&amp;C115</f>
        <v>A/B</v>
      </c>
      <c r="N113" s="25" t="s">
        <v>0</v>
      </c>
      <c r="O113" s="25" t="s">
        <v>1</v>
      </c>
      <c r="P113" s="16" t="s">
        <v>14</v>
      </c>
      <c r="Q113" s="82" t="s">
        <v>66</v>
      </c>
      <c r="R113" s="74" t="s">
        <v>138</v>
      </c>
      <c r="S113" s="506"/>
      <c r="T113" s="507"/>
      <c r="U113" s="510"/>
      <c r="V113" s="511"/>
      <c r="W113" s="514"/>
      <c r="X113" s="515"/>
      <c r="Y113" s="462"/>
      <c r="Z113" s="41"/>
      <c r="AA113" s="3" t="s">
        <v>4</v>
      </c>
      <c r="AB113" s="4" t="s">
        <v>5</v>
      </c>
      <c r="AC113" s="5" t="s">
        <v>6</v>
      </c>
      <c r="AD113" s="5" t="s">
        <v>19</v>
      </c>
    </row>
    <row r="114" spans="2:30" s="87" customFormat="1" ht="18" customHeight="1">
      <c r="B114" s="83"/>
      <c r="C114" s="84" t="s">
        <v>7</v>
      </c>
      <c r="D114" s="75"/>
      <c r="E114" s="75"/>
      <c r="F114" s="75"/>
      <c r="G114" s="75"/>
      <c r="H114" s="75"/>
      <c r="I114" s="75"/>
      <c r="J114" s="452">
        <f>100-2*$G$36</f>
        <v>90</v>
      </c>
      <c r="K114" s="533"/>
      <c r="L114" s="478">
        <f>IF(ISBLANK(K114),"",1/K114)</f>
      </c>
      <c r="M114" s="481" t="e">
        <f>EXP(AD114)</f>
        <v>#NUM!</v>
      </c>
      <c r="N114" s="481" t="e">
        <f>EXP(AD114-TINV((100-J114)/100,AC114)*AB114)</f>
        <v>#NUM!</v>
      </c>
      <c r="O114" s="481" t="e">
        <f>EXP(AD114+TINV((100-J114)/100,AC114)*AB114)</f>
        <v>#NUM!</v>
      </c>
      <c r="P114" s="502" t="e">
        <f>SQRT(O114/N114)</f>
        <v>#NUM!</v>
      </c>
      <c r="Q114" s="471" t="e">
        <f>IF(S114&lt;$I$36,IF(MAX(U114,W114)=U114,U115&amp;" trivial; don't use",W115&amp;" harmful; don't use"),IF(W114&lt;$E$36,S115&amp;" beneficial; consider using","unclear; don't use; get more data"))</f>
        <v>#NUM!</v>
      </c>
      <c r="R114" s="471" t="e">
        <f>IF(MIN(S114,W114)&gt;$G$36,"unclear; get more data",IF(MAX(S114,U114,W114)=S114,S115&amp;" "&amp;K113,IF(MAX(S114,U114,W114)=U114,U115&amp;" trivial",W115&amp;" "&amp;L113)))</f>
        <v>#NUM!</v>
      </c>
      <c r="S114" s="126" t="e">
        <f>100*IF(LN(K114)&gt;0,IF(AD114-LN(K114)&gt;0,1-TDIST((AD114-LN(K114))/AB114,AC114,1),TDIST((LN(K114)-AD114)/AB114,AC114,1)),IF(AD114-LN(K114)&gt;0,TDIST((AD114-LN(K114))/AB114,AC114,1),1-TDIST((LN(K114)-AD114)/AB114,AC114,1)))</f>
        <v>#NUM!</v>
      </c>
      <c r="T114" s="127" t="s">
        <v>65</v>
      </c>
      <c r="U114" s="126" t="e">
        <f>100-S114-W114</f>
        <v>#NUM!</v>
      </c>
      <c r="V114" s="127" t="s">
        <v>65</v>
      </c>
      <c r="W114" s="126" t="e">
        <f>100*IF(LN(L114)&gt;0,IF(AD114-LN(L114)&gt;0,1-TDIST((AD114-LN(L114))/AB114,AC114,1),TDIST((LN(L114)-AD114)/AB114,AC114,1)),IF(AD114-LN(L114)&gt;0,TDIST((AD114-LN(L114))/AB114,AC114,1),1-TDIST((LN(L114)-AD114)/AB114,AC114,1)))</f>
        <v>#VALUE!</v>
      </c>
      <c r="X114" s="127" t="s">
        <v>65</v>
      </c>
      <c r="Y114" s="185" t="e">
        <f>S114/(100-S114)/(W114/(100-W114))</f>
        <v>#NUM!</v>
      </c>
      <c r="Z114" s="107"/>
      <c r="AA114" s="72" t="e">
        <f>LN(IF(ISNUMBER(H114),H114,SQRT(G114/F114)))/TINV(1-I114/100,E114)</f>
        <v>#DIV/0!</v>
      </c>
      <c r="AB114" s="492" t="e">
        <f>SQRT(AA114^2+AA115^2)</f>
        <v>#DIV/0!</v>
      </c>
      <c r="AC114" s="491" t="e">
        <f>(AA114^2+AA115^2)^2/(AA114^4/E114+AA115^4/E115)</f>
        <v>#DIV/0!</v>
      </c>
      <c r="AD114" s="492" t="e">
        <f>LN(D114)-LN(D115)</f>
        <v>#NUM!</v>
      </c>
    </row>
    <row r="115" spans="2:30" s="87" customFormat="1" ht="18" customHeight="1">
      <c r="B115" s="83"/>
      <c r="C115" s="84" t="s">
        <v>8</v>
      </c>
      <c r="D115" s="75"/>
      <c r="E115" s="75"/>
      <c r="F115" s="75"/>
      <c r="G115" s="75"/>
      <c r="H115" s="75"/>
      <c r="I115" s="88">
        <f>I114</f>
        <v>0</v>
      </c>
      <c r="J115" s="453"/>
      <c r="K115" s="534"/>
      <c r="L115" s="479"/>
      <c r="M115" s="482"/>
      <c r="N115" s="482"/>
      <c r="O115" s="482"/>
      <c r="P115" s="503"/>
      <c r="Q115" s="472"/>
      <c r="R115" s="472"/>
      <c r="S115" s="499" t="e">
        <f>IF(S114&lt;$E$36,$D$36,IF(S114&lt;$G$36,$F$36,IF(S114&lt;$I$36,$H$36,IF(S114&lt;$K$36,$J$36,IF(S114&lt;$M$36,$L$36,IF(S114&lt;$O$36,$N$36,$P$36))))))</f>
        <v>#NUM!</v>
      </c>
      <c r="T115" s="500"/>
      <c r="U115" s="499" t="e">
        <f>IF(U114&lt;$E$36,$D$36,IF(U114&lt;$G$36,$F$36,IF(U114&lt;$I$36,$H$36,IF(U114&lt;$K$36,$J$36,IF(U114&lt;$M$36,$L$36,IF(U114&lt;$O$36,$N$36,$P$36))))))</f>
        <v>#NUM!</v>
      </c>
      <c r="V115" s="500"/>
      <c r="W115" s="499" t="e">
        <f>IF(W114&lt;$E$36,$D$36,IF(W114&lt;$G$36,$F$36,IF(W114&lt;$I$36,$H$36,IF(W114&lt;$K$36,$J$36,IF(W114&lt;$M$36,$L$36,IF(W114&lt;$O$36,$N$36,$P$36))))))</f>
        <v>#VALUE!</v>
      </c>
      <c r="X115" s="500"/>
      <c r="Y115" s="85"/>
      <c r="Z115" s="107"/>
      <c r="AA115" s="72" t="e">
        <f>LN(IF(ISNUMBER(H115),H115,SQRT(G115/F115)))/TINV(1-I115/100,E115)</f>
        <v>#DIV/0!</v>
      </c>
      <c r="AB115" s="492"/>
      <c r="AC115" s="491"/>
      <c r="AD115" s="492"/>
    </row>
    <row r="116" spans="2:30" ht="12.75">
      <c r="B116" s="44"/>
      <c r="C116" s="30"/>
      <c r="D116" s="30"/>
      <c r="E116" s="31"/>
      <c r="F116" s="32"/>
      <c r="G116" s="33"/>
      <c r="H116" s="30"/>
      <c r="I116" s="30"/>
      <c r="J116" s="30"/>
      <c r="K116" s="30"/>
      <c r="L116" s="30"/>
      <c r="M116" s="20" t="str">
        <f>"√("&amp;C114&amp;"*"&amp;C115&amp;")"</f>
        <v>√(A*B)</v>
      </c>
      <c r="N116" s="23"/>
      <c r="O116" s="73"/>
      <c r="P116" s="73"/>
      <c r="Q116" s="206" t="e">
        <f>IF(AND(W114&gt;$E$36,Y114&gt;$I$36/$K$36/($E$36/$O$36)),"Less conservative clinical: '"&amp;S115&amp;" beneficial, consider using' because odds ratio is &gt;"&amp;ROUND($I$36/$K$36/($E$36/$O$36),1)&amp;".","")</f>
        <v>#VALUE!</v>
      </c>
      <c r="R116" s="204"/>
      <c r="S116" s="204"/>
      <c r="T116" s="204"/>
      <c r="U116" s="204"/>
      <c r="V116" s="204"/>
      <c r="W116" s="204"/>
      <c r="X116" s="205"/>
      <c r="Y116" s="85"/>
      <c r="Z116" s="41"/>
      <c r="AA116" s="3" t="s">
        <v>4</v>
      </c>
      <c r="AB116" s="4" t="s">
        <v>5</v>
      </c>
      <c r="AC116" s="5" t="s">
        <v>6</v>
      </c>
      <c r="AD116" s="5" t="s">
        <v>19</v>
      </c>
    </row>
    <row r="117" spans="2:30" s="87" customFormat="1" ht="18" customHeight="1">
      <c r="B117" s="83"/>
      <c r="C117" s="89"/>
      <c r="D117" s="89"/>
      <c r="E117" s="90"/>
      <c r="F117" s="91"/>
      <c r="G117" s="92"/>
      <c r="H117" s="89"/>
      <c r="I117" s="89"/>
      <c r="J117" s="89"/>
      <c r="K117" s="89"/>
      <c r="L117" s="89"/>
      <c r="M117" s="485" t="e">
        <f>EXP(AD117)</f>
        <v>#NUM!</v>
      </c>
      <c r="N117" s="485" t="e">
        <f>EXP(AD117-TINV((100-J114)/100,AC117)*AB117)</f>
        <v>#NUM!</v>
      </c>
      <c r="O117" s="485" t="e">
        <f>EXP(AD117+TINV((100-J114)/100,AC117)*AB117)</f>
        <v>#NUM!</v>
      </c>
      <c r="P117" s="535" t="e">
        <f>SQRT(O117/N117)</f>
        <v>#NUM!</v>
      </c>
      <c r="Q117" s="501" t="e">
        <f>IF(S117&lt;$I$36,IF(MAX(U117,W117)=U117,U118&amp;" trivial; don't use",W118&amp;" harmful; don't use"),IF(W117&lt;$E$36,S118&amp;" beneficial; consider using","unclear; don't use; get more data"))</f>
        <v>#NUM!</v>
      </c>
      <c r="R117" s="501" t="e">
        <f>IF(MIN(S117,W117)&gt;$G$36,"unclear; get more data",IF(MAX(S117,U117,W117)=S117,S118&amp;" "&amp;K113,IF(MAX(S117,U117,W117)=U117,U118&amp;" trivial",W118&amp;" "&amp;L113)))</f>
        <v>#NUM!</v>
      </c>
      <c r="S117" s="128" t="e">
        <f>100*IF(LN(K114)&gt;0,IF(AD117-LN(K114)&gt;0,1-TDIST((AD117-LN(K114))/AB117,AC117,1),TDIST((LN(K114)-AD117)/AB117,AC117,1)),IF(AD117-LN(K114)&gt;0,TDIST((AD117-LN(K114))/AB117,AC117,1),1-TDIST((LN(K114)-AD117)/AB117,AC117,1)))</f>
        <v>#NUM!</v>
      </c>
      <c r="T117" s="129" t="s">
        <v>65</v>
      </c>
      <c r="U117" s="128" t="e">
        <f>100-S117-W117</f>
        <v>#NUM!</v>
      </c>
      <c r="V117" s="129" t="s">
        <v>65</v>
      </c>
      <c r="W117" s="128" t="e">
        <f>100*IF(LN(L114)&gt;0,IF(AD117-LN(L114)&gt;0,1-TDIST((AD117-LN(L114))/AB117,AC117,1),TDIST((LN(L114)-AD117)/AB117,AC117,1)),IF(AD117-LN(L114)&gt;0,TDIST((AD117-LN(L114))/AB117,AC117,1),1-TDIST((LN(L114)-AD117)/AB117,AC117,1)))</f>
        <v>#VALUE!</v>
      </c>
      <c r="X117" s="129" t="s">
        <v>65</v>
      </c>
      <c r="Y117" s="186" t="e">
        <f>S117/(100-S117)/(W117/(100-W117))</f>
        <v>#NUM!</v>
      </c>
      <c r="Z117" s="107"/>
      <c r="AA117" s="72" t="e">
        <f>LN(IF(ISNUMBER(H114),H114,SQRT(G114/F114)))/TINV(1-I114/100,E114)</f>
        <v>#DIV/0!</v>
      </c>
      <c r="AB117" s="492" t="e">
        <f>SQRT(AA117^2+AA118^2)/2</f>
        <v>#DIV/0!</v>
      </c>
      <c r="AC117" s="491" t="e">
        <f>(AA117^2+AA118^2)^2/(AA117^4/E114+AA118^4/E115)</f>
        <v>#DIV/0!</v>
      </c>
      <c r="AD117" s="495" t="e">
        <f>(LN(D114)+LN(D115))/2</f>
        <v>#NUM!</v>
      </c>
    </row>
    <row r="118" spans="2:30" s="87" customFormat="1" ht="18" customHeight="1">
      <c r="B118" s="83"/>
      <c r="C118" s="89"/>
      <c r="D118" s="89"/>
      <c r="E118" s="90"/>
      <c r="F118" s="91"/>
      <c r="G118" s="91"/>
      <c r="H118" s="91"/>
      <c r="I118" s="89"/>
      <c r="J118" s="89"/>
      <c r="K118" s="89"/>
      <c r="L118" s="89"/>
      <c r="M118" s="486"/>
      <c r="N118" s="486"/>
      <c r="O118" s="486"/>
      <c r="P118" s="536"/>
      <c r="Q118" s="475"/>
      <c r="R118" s="475"/>
      <c r="S118" s="489" t="e">
        <f>IF(S117&lt;$E$36,$D$36,IF(S117&lt;$G$36,$F$36,IF(S117&lt;$I$36,$H$36,IF(S117&lt;$K$36,$J$36,IF(S117&lt;$M$36,$L$36,IF(S117&lt;$O$36,$N$36,$P$36))))))</f>
        <v>#NUM!</v>
      </c>
      <c r="T118" s="490"/>
      <c r="U118" s="489" t="e">
        <f>IF(U117&lt;$E$36,$D$36,IF(U117&lt;$G$36,$F$36,IF(U117&lt;$I$36,$H$36,IF(U117&lt;$K$36,$J$36,IF(U117&lt;$M$36,$L$36,IF(U117&lt;$O$36,$N$36,$P$36))))))</f>
        <v>#NUM!</v>
      </c>
      <c r="V118" s="490"/>
      <c r="W118" s="489" t="e">
        <f>IF(W117&lt;$E$36,$D$36,IF(W117&lt;$G$36,$F$36,IF(W117&lt;$I$36,$H$36,IF(W117&lt;$K$36,$J$36,IF(W117&lt;$M$36,$L$36,IF(W117&lt;$O$36,$N$36,$P$36))))))</f>
        <v>#VALUE!</v>
      </c>
      <c r="X118" s="490"/>
      <c r="Y118" s="45"/>
      <c r="Z118" s="107"/>
      <c r="AA118" s="72" t="e">
        <f>LN(IF(ISNUMBER(H115),H115,SQRT(G115/F115)))/TINV(1-I115/100,E115)</f>
        <v>#DIV/0!</v>
      </c>
      <c r="AB118" s="492"/>
      <c r="AC118" s="491"/>
      <c r="AD118" s="496"/>
    </row>
    <row r="119" spans="2:26" ht="12" customHeight="1" thickBot="1">
      <c r="B119" s="46"/>
      <c r="C119" s="47"/>
      <c r="D119" s="47"/>
      <c r="E119" s="56"/>
      <c r="F119" s="57"/>
      <c r="G119" s="47"/>
      <c r="H119" s="47"/>
      <c r="I119" s="47"/>
      <c r="J119" s="47"/>
      <c r="K119" s="47"/>
      <c r="L119" s="47"/>
      <c r="M119" s="47"/>
      <c r="N119" s="212"/>
      <c r="O119" s="213"/>
      <c r="P119" s="213"/>
      <c r="Q119" s="214" t="e">
        <f>IF(AND(W117&gt;$E$36,Y117&gt;$I$36/$K$36/($E$36/$O$36)),"Less conservative clinical: '"&amp;S118&amp;" beneficial, consider using' because odds ratio is &gt;"&amp;ROUND($I$36/$K$36/($E$36/$O$36),1)&amp;".","")</f>
        <v>#VALUE!</v>
      </c>
      <c r="R119" s="215"/>
      <c r="S119" s="215"/>
      <c r="T119" s="215"/>
      <c r="U119" s="215"/>
      <c r="V119" s="215"/>
      <c r="W119" s="215"/>
      <c r="X119" s="216"/>
      <c r="Y119" s="48"/>
      <c r="Z119" s="108"/>
    </row>
    <row r="120" spans="3:26" ht="13.5" thickBot="1">
      <c r="C120" s="146"/>
      <c r="E120" s="7"/>
      <c r="F120" s="15"/>
      <c r="Y120" s="1"/>
      <c r="Z120" s="108"/>
    </row>
    <row r="121" spans="1:26" s="21" customFormat="1" ht="15.75" customHeight="1">
      <c r="A121" s="125"/>
      <c r="B121" s="164" t="s">
        <v>128</v>
      </c>
      <c r="C121" s="165"/>
      <c r="D121" s="166"/>
      <c r="E121" s="166"/>
      <c r="F121" s="166"/>
      <c r="G121" s="166"/>
      <c r="H121" s="166"/>
      <c r="I121" s="166"/>
      <c r="J121" s="166"/>
      <c r="K121" s="166"/>
      <c r="L121" s="166"/>
      <c r="M121" s="166"/>
      <c r="N121" s="166"/>
      <c r="O121" s="166"/>
      <c r="P121" s="166"/>
      <c r="Q121" s="166"/>
      <c r="R121" s="166"/>
      <c r="S121" s="166"/>
      <c r="T121" s="166"/>
      <c r="U121" s="166"/>
      <c r="V121" s="166"/>
      <c r="W121" s="166"/>
      <c r="X121" s="169"/>
      <c r="Y121" s="170"/>
      <c r="Z121" s="109"/>
    </row>
    <row r="122" spans="1:26" ht="12.75" customHeight="1">
      <c r="A122" s="125"/>
      <c r="B122" s="2" t="s">
        <v>258</v>
      </c>
      <c r="D122" s="9"/>
      <c r="E122" s="9"/>
      <c r="F122" s="9"/>
      <c r="G122" s="9"/>
      <c r="H122" s="9"/>
      <c r="I122" s="9"/>
      <c r="J122" s="9"/>
      <c r="K122" s="9"/>
      <c r="L122" s="9"/>
      <c r="M122" s="9"/>
      <c r="N122" s="9"/>
      <c r="O122" s="9"/>
      <c r="P122" s="9"/>
      <c r="Q122" s="9"/>
      <c r="R122" s="9"/>
      <c r="S122" s="9"/>
      <c r="T122" s="9"/>
      <c r="U122" s="9"/>
      <c r="V122" s="9"/>
      <c r="W122" s="9"/>
      <c r="X122" s="2"/>
      <c r="Y122" s="51"/>
      <c r="Z122" s="109"/>
    </row>
    <row r="123" spans="1:26" ht="12.75" customHeight="1">
      <c r="A123" s="125"/>
      <c r="B123" s="2" t="s">
        <v>257</v>
      </c>
      <c r="D123" s="9"/>
      <c r="E123" s="9"/>
      <c r="F123" s="9"/>
      <c r="G123" s="9"/>
      <c r="H123" s="9"/>
      <c r="I123" s="9"/>
      <c r="J123" s="9"/>
      <c r="K123" s="9"/>
      <c r="L123" s="9"/>
      <c r="M123" s="9"/>
      <c r="N123" s="9"/>
      <c r="O123" s="9"/>
      <c r="P123" s="9"/>
      <c r="Q123" s="9"/>
      <c r="R123" s="9"/>
      <c r="S123" s="9"/>
      <c r="T123" s="9"/>
      <c r="U123" s="9"/>
      <c r="V123" s="9"/>
      <c r="W123" s="9"/>
      <c r="X123" s="2"/>
      <c r="Y123" s="51"/>
      <c r="Z123" s="109"/>
    </row>
    <row r="124" spans="1:26" ht="12.75" customHeight="1">
      <c r="A124" s="125"/>
      <c r="B124" s="2" t="s">
        <v>119</v>
      </c>
      <c r="D124" s="9"/>
      <c r="E124" s="9"/>
      <c r="F124" s="9"/>
      <c r="G124" s="9"/>
      <c r="H124" s="9"/>
      <c r="I124" s="9"/>
      <c r="J124" s="9"/>
      <c r="K124" s="9"/>
      <c r="L124" s="9"/>
      <c r="M124" s="9"/>
      <c r="N124" s="9"/>
      <c r="O124" s="9"/>
      <c r="P124" s="9"/>
      <c r="Q124" s="9"/>
      <c r="R124" s="9"/>
      <c r="S124" s="9"/>
      <c r="T124" s="9"/>
      <c r="U124" s="9"/>
      <c r="V124" s="9"/>
      <c r="W124" s="9"/>
      <c r="X124" s="2"/>
      <c r="Y124" s="51"/>
      <c r="Z124" s="109"/>
    </row>
    <row r="125" spans="1:26" ht="12.75" customHeight="1">
      <c r="A125" s="125"/>
      <c r="B125" s="2"/>
      <c r="C125" s="1" t="s">
        <v>288</v>
      </c>
      <c r="D125" s="10"/>
      <c r="E125" s="10"/>
      <c r="F125" s="10"/>
      <c r="G125" s="10"/>
      <c r="H125" s="10"/>
      <c r="I125" s="10"/>
      <c r="J125" s="10"/>
      <c r="K125" s="10"/>
      <c r="L125" s="10"/>
      <c r="M125" s="10"/>
      <c r="N125" s="10"/>
      <c r="O125" s="10"/>
      <c r="P125" s="10"/>
      <c r="Q125" s="10"/>
      <c r="R125" s="10"/>
      <c r="S125" s="10"/>
      <c r="T125" s="10"/>
      <c r="U125" s="10"/>
      <c r="V125" s="10"/>
      <c r="W125" s="10"/>
      <c r="X125" s="2"/>
      <c r="Y125" s="58"/>
      <c r="Z125" s="110"/>
    </row>
    <row r="126" spans="2:26" ht="12.75" customHeight="1" thickBot="1">
      <c r="B126" s="42"/>
      <c r="C126" s="2"/>
      <c r="D126" s="12"/>
      <c r="E126" s="12"/>
      <c r="F126" s="12"/>
      <c r="G126" s="12"/>
      <c r="H126" s="12"/>
      <c r="I126" s="12"/>
      <c r="J126" s="12"/>
      <c r="K126" s="12"/>
      <c r="L126" s="12"/>
      <c r="M126" s="12"/>
      <c r="N126" s="12"/>
      <c r="O126" s="12"/>
      <c r="P126" s="12"/>
      <c r="Q126" s="12"/>
      <c r="R126" s="12"/>
      <c r="S126" s="12"/>
      <c r="T126" s="12"/>
      <c r="U126" s="12"/>
      <c r="V126" s="12"/>
      <c r="W126" s="12"/>
      <c r="X126" s="2"/>
      <c r="Y126" s="52"/>
      <c r="Z126" s="111"/>
    </row>
    <row r="127" spans="2:28" ht="9" customHeight="1">
      <c r="B127" s="219"/>
      <c r="C127" s="210"/>
      <c r="D127" s="220"/>
      <c r="E127" s="210"/>
      <c r="F127" s="210"/>
      <c r="G127" s="210"/>
      <c r="H127" s="210"/>
      <c r="I127" s="210"/>
      <c r="J127" s="210"/>
      <c r="K127" s="210"/>
      <c r="L127" s="210"/>
      <c r="M127" s="210"/>
      <c r="N127" s="210"/>
      <c r="O127" s="210"/>
      <c r="P127" s="210"/>
      <c r="Q127" s="210"/>
      <c r="R127" s="210"/>
      <c r="S127" s="210"/>
      <c r="T127" s="210"/>
      <c r="U127" s="210"/>
      <c r="V127" s="210"/>
      <c r="W127" s="210"/>
      <c r="X127" s="210"/>
      <c r="Y127" s="211"/>
      <c r="Z127" s="41"/>
      <c r="AA127" s="1"/>
      <c r="AB127" s="1"/>
    </row>
    <row r="128" spans="2:30" ht="12.75" customHeight="1">
      <c r="B128" s="59"/>
      <c r="C128" s="30"/>
      <c r="D128" s="446" t="s">
        <v>121</v>
      </c>
      <c r="E128" s="447"/>
      <c r="F128" s="447"/>
      <c r="G128" s="447"/>
      <c r="H128" s="447"/>
      <c r="I128" s="447"/>
      <c r="J128" s="448"/>
      <c r="K128" s="497" t="s">
        <v>122</v>
      </c>
      <c r="L128" s="498"/>
      <c r="M128" s="446" t="s">
        <v>68</v>
      </c>
      <c r="N128" s="447"/>
      <c r="O128" s="447"/>
      <c r="P128" s="447"/>
      <c r="Q128" s="447"/>
      <c r="R128" s="448"/>
      <c r="S128" s="516" t="s">
        <v>64</v>
      </c>
      <c r="T128" s="517"/>
      <c r="U128" s="517"/>
      <c r="V128" s="517"/>
      <c r="W128" s="517"/>
      <c r="X128" s="518"/>
      <c r="Y128" s="45"/>
      <c r="Z128" s="41"/>
      <c r="AA128" s="1"/>
      <c r="AB128" s="1"/>
      <c r="AC128" s="1"/>
      <c r="AD128" s="1"/>
    </row>
    <row r="129" spans="2:30" ht="12.75" customHeight="1">
      <c r="B129" s="59"/>
      <c r="C129" s="30"/>
      <c r="D129" s="449" t="s">
        <v>18</v>
      </c>
      <c r="E129" s="456" t="s">
        <v>120</v>
      </c>
      <c r="F129" s="458" t="s">
        <v>159</v>
      </c>
      <c r="G129" s="459"/>
      <c r="H129" s="460"/>
      <c r="I129" s="463" t="s">
        <v>185</v>
      </c>
      <c r="J129" s="463"/>
      <c r="K129" s="101" t="s">
        <v>72</v>
      </c>
      <c r="L129" s="100" t="s">
        <v>71</v>
      </c>
      <c r="M129" s="23" t="s">
        <v>19</v>
      </c>
      <c r="N129" s="458" t="str">
        <f>J131&amp;"% compatibility limits"</f>
        <v>90% compatibility limits</v>
      </c>
      <c r="O129" s="459"/>
      <c r="P129" s="460"/>
      <c r="Q129" s="497" t="s">
        <v>162</v>
      </c>
      <c r="R129" s="498"/>
      <c r="S129" s="504" t="str">
        <f>"...beneficial or
substantially "&amp;K130</f>
        <v>...beneficial or
substantially &gt;</v>
      </c>
      <c r="T129" s="505"/>
      <c r="U129" s="508" t="s">
        <v>70</v>
      </c>
      <c r="V129" s="509"/>
      <c r="W129" s="512" t="str">
        <f>"...harmful or 
substantially "&amp;L130</f>
        <v>...harmful or 
substantially &lt;</v>
      </c>
      <c r="X129" s="513"/>
      <c r="Y129" s="461" t="s">
        <v>125</v>
      </c>
      <c r="Z129" s="41"/>
      <c r="AA129" s="1"/>
      <c r="AB129" s="2"/>
      <c r="AC129" s="1"/>
      <c r="AD129" s="1"/>
    </row>
    <row r="130" spans="2:30" ht="13.5" customHeight="1">
      <c r="B130" s="59"/>
      <c r="C130" s="30"/>
      <c r="D130" s="449"/>
      <c r="E130" s="457"/>
      <c r="F130" s="38" t="s">
        <v>15</v>
      </c>
      <c r="G130" s="39" t="s">
        <v>16</v>
      </c>
      <c r="H130" s="37" t="s">
        <v>96</v>
      </c>
      <c r="I130" s="24" t="s">
        <v>3</v>
      </c>
      <c r="J130" s="25" t="s">
        <v>20</v>
      </c>
      <c r="K130" s="123" t="str">
        <f>IF(ISBLANK(K131),"???",IF(K131&lt;1,"&lt;","&gt;"))</f>
        <v>&gt;</v>
      </c>
      <c r="L130" s="124" t="str">
        <f>IF(TYPE(L131)=2,"???",IF(L131&lt;1,"&lt;","&gt;"))</f>
        <v>&lt;</v>
      </c>
      <c r="M130" s="19" t="str">
        <f>D131&amp;"/"&amp;D132</f>
        <v>A/B</v>
      </c>
      <c r="N130" s="25" t="s">
        <v>0</v>
      </c>
      <c r="O130" s="25" t="s">
        <v>1</v>
      </c>
      <c r="P130" s="16" t="s">
        <v>14</v>
      </c>
      <c r="Q130" s="82" t="s">
        <v>66</v>
      </c>
      <c r="R130" s="74" t="s">
        <v>138</v>
      </c>
      <c r="S130" s="506"/>
      <c r="T130" s="507"/>
      <c r="U130" s="510"/>
      <c r="V130" s="511"/>
      <c r="W130" s="514"/>
      <c r="X130" s="515"/>
      <c r="Y130" s="462"/>
      <c r="Z130" s="41"/>
      <c r="AA130" s="3" t="s">
        <v>4</v>
      </c>
      <c r="AB130" s="4" t="s">
        <v>5</v>
      </c>
      <c r="AC130" s="5"/>
      <c r="AD130" s="5" t="s">
        <v>19</v>
      </c>
    </row>
    <row r="131" spans="2:30" s="87" customFormat="1" ht="18" customHeight="1">
      <c r="B131" s="93"/>
      <c r="C131" s="89"/>
      <c r="D131" s="94" t="s">
        <v>7</v>
      </c>
      <c r="E131" s="95">
        <v>5.5</v>
      </c>
      <c r="F131" s="95"/>
      <c r="G131" s="95"/>
      <c r="H131" s="95">
        <v>2.9</v>
      </c>
      <c r="I131" s="96">
        <v>90</v>
      </c>
      <c r="J131" s="452">
        <f>100-2*$G$36</f>
        <v>90</v>
      </c>
      <c r="K131" s="488">
        <v>1.2</v>
      </c>
      <c r="L131" s="478">
        <f>IF(ISBLANK(K131),"",1/K131)</f>
        <v>0.8333333333333334</v>
      </c>
      <c r="M131" s="469">
        <f>EXP(AD131)</f>
        <v>2.75</v>
      </c>
      <c r="N131" s="469">
        <f>EXP(AD131+NORMSINV((100-J131)/200)*AB131)</f>
        <v>0.7116330220209824</v>
      </c>
      <c r="O131" s="469">
        <f>EXP(AD131-NORMSINV((100-J131)/200)*AB131)</f>
        <v>10.626966099076022</v>
      </c>
      <c r="P131" s="469">
        <f>SQRT(O131/N131)</f>
        <v>3.864351308754917</v>
      </c>
      <c r="Q131" s="471" t="str">
        <f>IF(S131&lt;$I$36,IF(MAX(U131,W131)=U131,U132&amp;" trivial; don't use",W132&amp;" harmful; don't use"),IF(W131&lt;$E$36,S132&amp;" beneficial; consider using","unclear; don't use; get more data"))</f>
        <v>unclear; don't use; get more data</v>
      </c>
      <c r="R131" s="471" t="str">
        <f>IF(MIN(S131,W131)&gt;$G$36,"unclear; get more data",IF(MAX(S131,U131,W131)=S131,S132&amp;" "&amp;K130,IF(MAX(S131,U131,W131)=U131,U132&amp;" trivial",W132&amp;" "&amp;L130)))</f>
        <v>unclear; get more data</v>
      </c>
      <c r="S131" s="126">
        <f>IF(K131&gt;1,NORMSDIST((AD131-LN(K131))/AB131),1-NORMSDIST((AD131-LN(K131))/AB131))*100</f>
        <v>84.35274375634762</v>
      </c>
      <c r="T131" s="127" t="s">
        <v>65</v>
      </c>
      <c r="U131" s="126">
        <f>100-S131-W131</f>
        <v>8.332691964698263</v>
      </c>
      <c r="V131" s="127" t="s">
        <v>65</v>
      </c>
      <c r="W131" s="126">
        <f>IF(L131&gt;1,NORMSDIST((AD131-LN(L131))/AB131),1-NORMSDIST((AD131-LN(L131))/AB131))*100</f>
        <v>7.3145642789541165</v>
      </c>
      <c r="X131" s="127" t="s">
        <v>65</v>
      </c>
      <c r="Y131" s="185">
        <f>S131/(100-S131)/(W131/(100-W131))</f>
        <v>68.30996360559813</v>
      </c>
      <c r="Z131" s="107"/>
      <c r="AA131" s="72">
        <f>-LN(IF(ISNUMBER(H131),H131,SQRT(G131/F131)))/NORMSINV((100-I131)/200)</f>
        <v>0.6472981665643613</v>
      </c>
      <c r="AB131" s="474">
        <f>SQRT(AA131^2+AA132^2)</f>
        <v>0.8218322946690733</v>
      </c>
      <c r="AC131" s="491"/>
      <c r="AD131" s="474">
        <f>LN(E131/E132)</f>
        <v>1.0116009116784799</v>
      </c>
    </row>
    <row r="132" spans="2:30" s="87" customFormat="1" ht="18" customHeight="1">
      <c r="B132" s="93"/>
      <c r="C132" s="89"/>
      <c r="D132" s="94" t="s">
        <v>8</v>
      </c>
      <c r="E132" s="95">
        <v>2</v>
      </c>
      <c r="F132" s="95"/>
      <c r="G132" s="95"/>
      <c r="H132" s="95">
        <v>2.3</v>
      </c>
      <c r="I132" s="97">
        <f>I131</f>
        <v>90</v>
      </c>
      <c r="J132" s="453"/>
      <c r="K132" s="488"/>
      <c r="L132" s="479"/>
      <c r="M132" s="470"/>
      <c r="N132" s="480"/>
      <c r="O132" s="480"/>
      <c r="P132" s="480"/>
      <c r="Q132" s="472"/>
      <c r="R132" s="472"/>
      <c r="S132" s="493" t="str">
        <f>IF(S131&lt;$E$36,$D$36,IF(S131&lt;$G$36,$F$36,IF(S131&lt;$I$36,$H$36,IF(S131&lt;$K$36,$J$36,IF(S131&lt;$M$36,$L$36,IF(S131&lt;$O$36,$N$36,$P$36))))))</f>
        <v>likely</v>
      </c>
      <c r="T132" s="494"/>
      <c r="U132" s="493" t="str">
        <f>IF(U131&lt;$E$36,$D$36,IF(U131&lt;$G$36,$F$36,IF(U131&lt;$I$36,$H$36,IF(U131&lt;$K$36,$J$36,IF(U131&lt;$M$36,$L$36,IF(U131&lt;$O$36,$N$36,$P$36))))))</f>
        <v>unlikely</v>
      </c>
      <c r="V132" s="494"/>
      <c r="W132" s="493" t="str">
        <f>IF(W131&lt;$E$36,$D$36,IF(W131&lt;$G$36,$F$36,IF(W131&lt;$I$36,$H$36,IF(W131&lt;$K$36,$J$36,IF(W131&lt;$M$36,$L$36,IF(W131&lt;$O$36,$N$36,$P$36))))))</f>
        <v>unlikely</v>
      </c>
      <c r="X132" s="494"/>
      <c r="Y132" s="85"/>
      <c r="Z132" s="107"/>
      <c r="AA132" s="72">
        <f>-LN(IF(ISNUMBER(H132),H132,SQRT(G132/F132)))/NORMSINV((100-I132)/200)</f>
        <v>0.5063727916500359</v>
      </c>
      <c r="AB132" s="474"/>
      <c r="AC132" s="491"/>
      <c r="AD132" s="474"/>
    </row>
    <row r="133" spans="2:30" ht="13.5" thickBot="1">
      <c r="B133" s="59"/>
      <c r="C133" s="30"/>
      <c r="D133" s="30"/>
      <c r="E133" s="31"/>
      <c r="F133" s="32"/>
      <c r="G133" s="33"/>
      <c r="H133" s="30"/>
      <c r="I133" s="30"/>
      <c r="J133" s="30"/>
      <c r="K133" s="30"/>
      <c r="L133" s="30"/>
      <c r="M133" s="20" t="str">
        <f>"√("&amp;D131&amp;"*"&amp;D132&amp;")"</f>
        <v>√(A*B)</v>
      </c>
      <c r="N133" s="23"/>
      <c r="O133" s="73"/>
      <c r="P133" s="73"/>
      <c r="Q133" s="206" t="str">
        <f>IF(AND(W131&gt;$E$36,Y131&gt;$I$36/$K$36/($E$36/$O$36)),"Less conservative clinical: '"&amp;S132&amp;" beneficial, consider using' because odds ratio is &gt;"&amp;ROUND($I$36/$K$36/($E$36/$O$36),1)&amp;".","")</f>
        <v>Less conservative clinical: 'likely beneficial, consider using' because odds ratio is &gt;66.3.</v>
      </c>
      <c r="R133" s="204"/>
      <c r="S133" s="204"/>
      <c r="T133" s="204"/>
      <c r="U133" s="204"/>
      <c r="V133" s="204"/>
      <c r="W133" s="204"/>
      <c r="X133" s="205"/>
      <c r="Y133" s="48"/>
      <c r="Z133" s="41"/>
      <c r="AA133" s="3" t="s">
        <v>4</v>
      </c>
      <c r="AB133" s="4" t="s">
        <v>5</v>
      </c>
      <c r="AC133" s="5"/>
      <c r="AD133" s="5" t="s">
        <v>19</v>
      </c>
    </row>
    <row r="134" spans="2:30" s="87" customFormat="1" ht="18" customHeight="1">
      <c r="B134" s="93"/>
      <c r="C134" s="89"/>
      <c r="D134" s="89"/>
      <c r="E134" s="90"/>
      <c r="F134" s="91"/>
      <c r="G134" s="92"/>
      <c r="H134" s="89"/>
      <c r="I134" s="89"/>
      <c r="J134" s="89"/>
      <c r="K134" s="89"/>
      <c r="L134" s="89"/>
      <c r="M134" s="450">
        <f>EXP(AD134)</f>
        <v>3.3166247903554003</v>
      </c>
      <c r="N134" s="473">
        <f>EXP(AD134+NORMSINV((100-J131)/200)*AB134)</f>
        <v>1.687166882108563</v>
      </c>
      <c r="O134" s="473">
        <f>EXP(AD134-NORMSINV((100-J131)/200)*AB134)</f>
        <v>6.519805548964178</v>
      </c>
      <c r="P134" s="473">
        <f>SQRT(O134/N134)</f>
        <v>1.9657953374537536</v>
      </c>
      <c r="Q134" s="475" t="str">
        <f>IF(S134&lt;$I$36,IF(MAX(U134,W134)=U134,U135&amp;" trivial; don't use",W135&amp;" harmful; don't use"),IF(W134&lt;$E$36,S135&amp;" beneficial; consider using","unclear; don't use; get more data"))</f>
        <v>very likely beneficial; consider using</v>
      </c>
      <c r="R134" s="475" t="str">
        <f>IF(MIN(S134,W134)&gt;$G$36,"unclear; get more data",IF(MAX(S134,U134,W134)=S134,S135&amp;" "&amp;K130,IF(MAX(S134,U134,W134)=U134,U135&amp;" trivial",W135&amp;" "&amp;L130)))</f>
        <v>very likely &gt;</v>
      </c>
      <c r="S134" s="199">
        <f>IF(K131&gt;1,NORMSDIST((AD134-LN(K131))/AB134),1-NORMSDIST((AD134-LN(K131))/AB134))*100</f>
        <v>99.3320403890816</v>
      </c>
      <c r="T134" s="200" t="s">
        <v>65</v>
      </c>
      <c r="U134" s="199">
        <f>100-S134-W134</f>
        <v>0.6291907438574786</v>
      </c>
      <c r="V134" s="200" t="s">
        <v>65</v>
      </c>
      <c r="W134" s="199">
        <f>IF(L131&gt;1,NORMSDIST((AD134-LN(L131))/AB134),1-NORMSDIST((AD134-LN(L131))/AB134))*100</f>
        <v>0.038768867060923196</v>
      </c>
      <c r="X134" s="200" t="s">
        <v>65</v>
      </c>
      <c r="Y134" s="186">
        <f>S134/(100-S134)/(W134/(100-W134))</f>
        <v>383431.3687095227</v>
      </c>
      <c r="Z134" s="107"/>
      <c r="AA134" s="72">
        <f>-LN(IF(ISNUMBER(H131),H131,SQRT(G131/F131)))/NORMSINV((100-I131)/200)</f>
        <v>0.6472981665643613</v>
      </c>
      <c r="AB134" s="474">
        <f>SQRT(AA134^2+AA135^2)/2</f>
        <v>0.41091614733453663</v>
      </c>
      <c r="AC134" s="491"/>
      <c r="AD134" s="474">
        <f>LN(SQRT(E131*E132))</f>
        <v>1.1989476363991853</v>
      </c>
    </row>
    <row r="135" spans="2:30" s="87" customFormat="1" ht="18" customHeight="1">
      <c r="B135" s="93"/>
      <c r="C135" s="89"/>
      <c r="D135" s="89"/>
      <c r="E135" s="90"/>
      <c r="F135" s="91"/>
      <c r="G135" s="91"/>
      <c r="H135" s="91"/>
      <c r="I135" s="89"/>
      <c r="J135" s="89"/>
      <c r="K135" s="89"/>
      <c r="L135" s="89"/>
      <c r="M135" s="451"/>
      <c r="N135" s="451"/>
      <c r="O135" s="451"/>
      <c r="P135" s="451"/>
      <c r="Q135" s="476"/>
      <c r="R135" s="476"/>
      <c r="S135" s="489" t="str">
        <f>IF(S134&lt;$E$36,$D$36,IF(S134&lt;$G$36,$F$36,IF(S134&lt;$I$36,$H$36,IF(S134&lt;$K$36,$J$36,IF(S134&lt;$M$36,$L$36,IF(S134&lt;$O$36,$N$36,$P$36))))))</f>
        <v>very likely</v>
      </c>
      <c r="T135" s="490"/>
      <c r="U135" s="489" t="str">
        <f>IF(U134&lt;$E$36,$D$36,IF(U134&lt;$G$36,$F$36,IF(U134&lt;$I$36,$H$36,IF(U134&lt;$K$36,$J$36,IF(U134&lt;$M$36,$L$36,IF(U134&lt;$O$36,$N$36,$P$36))))))</f>
        <v>very unlikely</v>
      </c>
      <c r="V135" s="490"/>
      <c r="W135" s="489" t="str">
        <f>IF(W134&lt;$E$36,$D$36,IF(W134&lt;$G$36,$F$36,IF(W134&lt;$I$36,$H$36,IF(W134&lt;$K$36,$J$36,IF(W134&lt;$M$36,$L$36,IF(W134&lt;$O$36,$N$36,$P$36))))))</f>
        <v>most unlikely</v>
      </c>
      <c r="X135" s="490"/>
      <c r="Y135" s="45"/>
      <c r="Z135" s="107"/>
      <c r="AA135" s="72">
        <f>-LN(IF(ISNUMBER(H132),H132,SQRT(G132/F132)))/NORMSINV((100-I132)/200)</f>
        <v>0.5063727916500359</v>
      </c>
      <c r="AB135" s="474"/>
      <c r="AC135" s="491"/>
      <c r="AD135" s="474"/>
    </row>
    <row r="136" spans="2:26" ht="12" customHeight="1" thickBot="1">
      <c r="B136" s="63"/>
      <c r="C136" s="64"/>
      <c r="D136" s="64"/>
      <c r="E136" s="64"/>
      <c r="F136" s="64"/>
      <c r="G136" s="64"/>
      <c r="H136" s="64"/>
      <c r="I136" s="64"/>
      <c r="J136" s="64"/>
      <c r="K136" s="64"/>
      <c r="L136" s="64"/>
      <c r="M136" s="64"/>
      <c r="N136" s="212"/>
      <c r="O136" s="213"/>
      <c r="P136" s="213"/>
      <c r="Q136" s="214">
        <f>IF(AND(W134&gt;$E$36,Y134&gt;$I$36/$K$36/($E$36/$O$36)),"Less conservative clinical: '"&amp;S135&amp;" beneficial, consider using' because odds ratio is &gt;"&amp;ROUND($I$36/$K$36/($E$36/$O$36),1)&amp;".","")</f>
      </c>
      <c r="R136" s="215"/>
      <c r="S136" s="215"/>
      <c r="T136" s="215"/>
      <c r="U136" s="215"/>
      <c r="V136" s="215"/>
      <c r="W136" s="215"/>
      <c r="X136" s="216"/>
      <c r="Y136" s="48"/>
      <c r="Z136" s="112"/>
    </row>
    <row r="137" spans="2:26" ht="9" customHeight="1">
      <c r="B137" s="221"/>
      <c r="C137" s="222"/>
      <c r="D137" s="222"/>
      <c r="E137" s="222"/>
      <c r="F137" s="222"/>
      <c r="G137" s="222"/>
      <c r="H137" s="222"/>
      <c r="I137" s="222"/>
      <c r="J137" s="222"/>
      <c r="K137" s="222"/>
      <c r="L137" s="222"/>
      <c r="M137" s="222"/>
      <c r="N137" s="222"/>
      <c r="O137" s="222"/>
      <c r="P137" s="222"/>
      <c r="Q137" s="222"/>
      <c r="R137" s="222"/>
      <c r="S137" s="210"/>
      <c r="T137" s="210"/>
      <c r="U137" s="210"/>
      <c r="V137" s="210"/>
      <c r="W137" s="210"/>
      <c r="X137" s="210"/>
      <c r="Y137" s="211"/>
      <c r="Z137" s="112"/>
    </row>
    <row r="138" spans="2:29" ht="12.75" customHeight="1">
      <c r="B138" s="59"/>
      <c r="C138" s="30"/>
      <c r="D138" s="446" t="s">
        <v>121</v>
      </c>
      <c r="E138" s="447"/>
      <c r="F138" s="447"/>
      <c r="G138" s="447"/>
      <c r="H138" s="447"/>
      <c r="I138" s="447"/>
      <c r="J138" s="448"/>
      <c r="K138" s="497" t="s">
        <v>122</v>
      </c>
      <c r="L138" s="498"/>
      <c r="M138" s="446" t="s">
        <v>68</v>
      </c>
      <c r="N138" s="447"/>
      <c r="O138" s="447"/>
      <c r="P138" s="447"/>
      <c r="Q138" s="447"/>
      <c r="R138" s="448"/>
      <c r="S138" s="516" t="s">
        <v>64</v>
      </c>
      <c r="T138" s="517"/>
      <c r="U138" s="517"/>
      <c r="V138" s="517"/>
      <c r="W138" s="517"/>
      <c r="X138" s="518"/>
      <c r="Y138" s="45"/>
      <c r="Z138" s="41"/>
      <c r="AA138" s="1"/>
      <c r="AB138" s="1"/>
      <c r="AC138" s="1"/>
    </row>
    <row r="139" spans="2:29" ht="12.75" customHeight="1">
      <c r="B139" s="59"/>
      <c r="C139" s="30"/>
      <c r="D139" s="449" t="s">
        <v>18</v>
      </c>
      <c r="E139" s="456" t="s">
        <v>120</v>
      </c>
      <c r="F139" s="458" t="s">
        <v>159</v>
      </c>
      <c r="G139" s="459"/>
      <c r="H139" s="460"/>
      <c r="I139" s="463" t="s">
        <v>185</v>
      </c>
      <c r="J139" s="463"/>
      <c r="K139" s="101" t="s">
        <v>72</v>
      </c>
      <c r="L139" s="100" t="s">
        <v>71</v>
      </c>
      <c r="M139" s="23" t="s">
        <v>19</v>
      </c>
      <c r="N139" s="458" t="str">
        <f>J141&amp;"% compatibility limits"</f>
        <v>90% compatibility limits</v>
      </c>
      <c r="O139" s="459"/>
      <c r="P139" s="460"/>
      <c r="Q139" s="497" t="s">
        <v>162</v>
      </c>
      <c r="R139" s="498"/>
      <c r="S139" s="504" t="str">
        <f>"...beneficial or
substantially "&amp;K140</f>
        <v>...beneficial or
substantially ???</v>
      </c>
      <c r="T139" s="505"/>
      <c r="U139" s="508" t="s">
        <v>70</v>
      </c>
      <c r="V139" s="509"/>
      <c r="W139" s="512" t="str">
        <f>"...harmful or 
substantially "&amp;L140</f>
        <v>...harmful or 
substantially ???</v>
      </c>
      <c r="X139" s="513"/>
      <c r="Y139" s="461" t="s">
        <v>125</v>
      </c>
      <c r="Z139" s="41"/>
      <c r="AA139" s="2"/>
      <c r="AB139" s="1"/>
      <c r="AC139" s="1"/>
    </row>
    <row r="140" spans="2:30" ht="13.5" customHeight="1">
      <c r="B140" s="59"/>
      <c r="C140" s="30"/>
      <c r="D140" s="449"/>
      <c r="E140" s="457"/>
      <c r="F140" s="38" t="s">
        <v>15</v>
      </c>
      <c r="G140" s="39" t="s">
        <v>16</v>
      </c>
      <c r="H140" s="37" t="s">
        <v>96</v>
      </c>
      <c r="I140" s="24" t="s">
        <v>3</v>
      </c>
      <c r="J140" s="25" t="s">
        <v>20</v>
      </c>
      <c r="K140" s="123" t="str">
        <f>IF(ISBLANK(K141),"???",IF(K141&lt;1,"&lt;","&gt;"))</f>
        <v>???</v>
      </c>
      <c r="L140" s="124" t="str">
        <f>IF(TYPE(L141)=2,"???",IF(L141&lt;1,"&lt;","&gt;"))</f>
        <v>???</v>
      </c>
      <c r="M140" s="19" t="str">
        <f>D141&amp;"/"&amp;D142</f>
        <v>A/B</v>
      </c>
      <c r="N140" s="25" t="s">
        <v>0</v>
      </c>
      <c r="O140" s="25" t="s">
        <v>1</v>
      </c>
      <c r="P140" s="16" t="s">
        <v>14</v>
      </c>
      <c r="Q140" s="82" t="s">
        <v>66</v>
      </c>
      <c r="R140" s="74" t="s">
        <v>138</v>
      </c>
      <c r="S140" s="506"/>
      <c r="T140" s="507"/>
      <c r="U140" s="510"/>
      <c r="V140" s="511"/>
      <c r="W140" s="514"/>
      <c r="X140" s="515"/>
      <c r="Y140" s="462"/>
      <c r="Z140" s="41"/>
      <c r="AA140" s="3" t="s">
        <v>4</v>
      </c>
      <c r="AB140" s="4" t="s">
        <v>5</v>
      </c>
      <c r="AC140" s="5"/>
      <c r="AD140" s="5" t="s">
        <v>19</v>
      </c>
    </row>
    <row r="141" spans="2:30" s="87" customFormat="1" ht="18" customHeight="1">
      <c r="B141" s="93"/>
      <c r="C141" s="89"/>
      <c r="D141" s="94" t="s">
        <v>7</v>
      </c>
      <c r="E141" s="95"/>
      <c r="F141" s="95"/>
      <c r="G141" s="95"/>
      <c r="H141" s="95"/>
      <c r="I141" s="96"/>
      <c r="J141" s="452">
        <f>100-2*$G$36</f>
        <v>90</v>
      </c>
      <c r="K141" s="488"/>
      <c r="L141" s="478">
        <f>IF(ISBLANK(K141),"",1/K141)</f>
      </c>
      <c r="M141" s="469" t="e">
        <f>EXP(AD141)</f>
        <v>#DIV/0!</v>
      </c>
      <c r="N141" s="469" t="e">
        <f>EXP(AD141+NORMSINV((100-J141)/200)*AB141)</f>
        <v>#DIV/0!</v>
      </c>
      <c r="O141" s="469" t="e">
        <f>EXP(AD141-NORMSINV((100-J141)/200)*AB141)</f>
        <v>#DIV/0!</v>
      </c>
      <c r="P141" s="469" t="e">
        <f>SQRT(O141/N141)</f>
        <v>#DIV/0!</v>
      </c>
      <c r="Q141" s="471" t="e">
        <f>IF(S141&lt;$I$36,IF(MAX(U141,W141)=U141,U142&amp;" trivial; don't use",W142&amp;" harmful; don't use"),IF(W141&lt;$E$36,S142&amp;" beneficial; consider using","unclear; don't use; get more data"))</f>
        <v>#DIV/0!</v>
      </c>
      <c r="R141" s="471" t="e">
        <f>IF(MIN(S141,W141)&gt;$G$36,"unclear; get more data",IF(MAX(S141,U141,W141)=S141,S142&amp;" "&amp;K140,IF(MAX(S141,U141,W141)=U141,U142&amp;" trivial",W142&amp;" "&amp;L140)))</f>
        <v>#DIV/0!</v>
      </c>
      <c r="S141" s="126" t="e">
        <f>IF(K141&gt;1,NORMSDIST((AD141-LN(K141))/AB141),1-NORMSDIST((AD141-LN(K141))/AB141))*100</f>
        <v>#DIV/0!</v>
      </c>
      <c r="T141" s="127" t="s">
        <v>65</v>
      </c>
      <c r="U141" s="126" t="e">
        <f>100-S141-W141</f>
        <v>#DIV/0!</v>
      </c>
      <c r="V141" s="127" t="s">
        <v>65</v>
      </c>
      <c r="W141" s="126" t="e">
        <f>IF(L141&gt;1,NORMSDIST((AD141-LN(L141))/AB141),1-NORMSDIST((AD141-LN(L141))/AB141))*100</f>
        <v>#DIV/0!</v>
      </c>
      <c r="X141" s="127" t="s">
        <v>65</v>
      </c>
      <c r="Y141" s="185" t="e">
        <f>S141/(100-S141)/(W141/(100-W141))</f>
        <v>#DIV/0!</v>
      </c>
      <c r="Z141" s="107"/>
      <c r="AA141" s="72" t="e">
        <f>-LN(IF(ISNUMBER(H141),H141,SQRT(G141/F141)))/NORMSINV((100-I141)/200)</f>
        <v>#DIV/0!</v>
      </c>
      <c r="AB141" s="474" t="e">
        <f>SQRT(AA141^2+AA142^2)</f>
        <v>#DIV/0!</v>
      </c>
      <c r="AC141" s="491"/>
      <c r="AD141" s="474" t="e">
        <f>LN(E141/E142)</f>
        <v>#DIV/0!</v>
      </c>
    </row>
    <row r="142" spans="2:30" s="87" customFormat="1" ht="18" customHeight="1">
      <c r="B142" s="93"/>
      <c r="C142" s="89"/>
      <c r="D142" s="94" t="s">
        <v>8</v>
      </c>
      <c r="E142" s="95"/>
      <c r="F142" s="95"/>
      <c r="G142" s="95"/>
      <c r="H142" s="95"/>
      <c r="I142" s="97">
        <f>I141</f>
        <v>0</v>
      </c>
      <c r="J142" s="453"/>
      <c r="K142" s="488"/>
      <c r="L142" s="479"/>
      <c r="M142" s="470"/>
      <c r="N142" s="470"/>
      <c r="O142" s="470"/>
      <c r="P142" s="470"/>
      <c r="Q142" s="472"/>
      <c r="R142" s="472"/>
      <c r="S142" s="499" t="e">
        <f>IF(S141&lt;$E$36,$D$36,IF(S141&lt;$G$36,$F$36,IF(S141&lt;$I$36,$H$36,IF(S141&lt;$K$36,$J$36,IF(S141&lt;$M$36,$L$36,IF(S141&lt;$O$36,$N$36,$P$36))))))</f>
        <v>#DIV/0!</v>
      </c>
      <c r="T142" s="500"/>
      <c r="U142" s="499" t="e">
        <f>IF(U141&lt;$E$36,$D$36,IF(U141&lt;$G$36,$F$36,IF(U141&lt;$I$36,$H$36,IF(U141&lt;$K$36,$J$36,IF(U141&lt;$M$36,$L$36,IF(U141&lt;$O$36,$N$36,$P$36))))))</f>
        <v>#DIV/0!</v>
      </c>
      <c r="V142" s="500"/>
      <c r="W142" s="499" t="e">
        <f>IF(W141&lt;$E$36,$D$36,IF(W141&lt;$G$36,$F$36,IF(W141&lt;$I$36,$H$36,IF(W141&lt;$K$36,$J$36,IF(W141&lt;$M$36,$L$36,IF(W141&lt;$O$36,$N$36,$P$36))))))</f>
        <v>#DIV/0!</v>
      </c>
      <c r="X142" s="500"/>
      <c r="Y142" s="85"/>
      <c r="Z142" s="107"/>
      <c r="AA142" s="72" t="e">
        <f>-LN(IF(ISNUMBER(H142),H142,SQRT(G142/F142)))/NORMSINV((100-I142)/200)</f>
        <v>#DIV/0!</v>
      </c>
      <c r="AB142" s="474"/>
      <c r="AC142" s="491"/>
      <c r="AD142" s="474"/>
    </row>
    <row r="143" spans="2:30" ht="12.75">
      <c r="B143" s="59"/>
      <c r="C143" s="30"/>
      <c r="D143" s="30"/>
      <c r="E143" s="31"/>
      <c r="F143" s="32"/>
      <c r="G143" s="33"/>
      <c r="H143" s="30"/>
      <c r="I143" s="30"/>
      <c r="J143" s="30"/>
      <c r="K143" s="30"/>
      <c r="L143" s="30"/>
      <c r="M143" s="20" t="str">
        <f>"√("&amp;D141&amp;"*"&amp;D142&amp;")"</f>
        <v>√(A*B)</v>
      </c>
      <c r="N143" s="23"/>
      <c r="O143" s="73"/>
      <c r="P143" s="73"/>
      <c r="Q143" s="206" t="e">
        <f>IF(AND(W141&gt;$E$36,Y141&gt;$I$36/$K$36/($E$36/$O$36)),"Less conservative clinical: '"&amp;S142&amp;" beneficial, consider using' because odds ratio is &gt;"&amp;ROUND($I$36/$K$36/($E$36/$O$36),1)&amp;".","")</f>
        <v>#DIV/0!</v>
      </c>
      <c r="R143" s="204"/>
      <c r="S143" s="204"/>
      <c r="T143" s="204"/>
      <c r="U143" s="204"/>
      <c r="V143" s="204"/>
      <c r="W143" s="204"/>
      <c r="X143" s="205"/>
      <c r="Y143" s="85"/>
      <c r="Z143" s="41"/>
      <c r="AA143" s="3" t="s">
        <v>4</v>
      </c>
      <c r="AB143" s="4" t="s">
        <v>5</v>
      </c>
      <c r="AC143" s="5"/>
      <c r="AD143" s="5" t="s">
        <v>19</v>
      </c>
    </row>
    <row r="144" spans="2:30" s="87" customFormat="1" ht="18" customHeight="1">
      <c r="B144" s="93"/>
      <c r="C144" s="89"/>
      <c r="D144" s="89"/>
      <c r="E144" s="90"/>
      <c r="F144" s="91"/>
      <c r="G144" s="92"/>
      <c r="H144" s="89"/>
      <c r="I144" s="89"/>
      <c r="J144" s="89"/>
      <c r="K144" s="89"/>
      <c r="L144" s="89"/>
      <c r="M144" s="450" t="e">
        <f>EXP(AD144)</f>
        <v>#NUM!</v>
      </c>
      <c r="N144" s="450" t="e">
        <f>EXP(AD144+NORMSINV((100-J141)/200)*AB144)</f>
        <v>#NUM!</v>
      </c>
      <c r="O144" s="450" t="e">
        <f>EXP(AD144-NORMSINV((100-J141)/200)*AB144)</f>
        <v>#NUM!</v>
      </c>
      <c r="P144" s="450" t="e">
        <f>SQRT(O144/N144)</f>
        <v>#NUM!</v>
      </c>
      <c r="Q144" s="476" t="e">
        <f>IF(S144&lt;$I$36,IF(MAX(U144,W144)=U144,U145&amp;" trivial; don't use",W145&amp;" harmful; don't use"),IF(W144&lt;$E$36,S145&amp;" beneficial; consider using","unclear; don't use; get more data"))</f>
        <v>#NUM!</v>
      </c>
      <c r="R144" s="476" t="e">
        <f>IF(MIN(S144,W144)&gt;$G$36,"unclear; get more data",IF(MAX(S144,U144,W144)=S144,S145&amp;" "&amp;K140,IF(MAX(S144,U144,W144)=U144,U145&amp;" trivial",W145&amp;" "&amp;L140)))</f>
        <v>#NUM!</v>
      </c>
      <c r="S144" s="128" t="e">
        <f>IF(K141&gt;1,NORMSDIST((AD144-LN(K141))/AB144),1-NORMSDIST((AD144-LN(K141))/AB144))*100</f>
        <v>#NUM!</v>
      </c>
      <c r="T144" s="129" t="s">
        <v>65</v>
      </c>
      <c r="U144" s="128" t="e">
        <f>100-S144-W144</f>
        <v>#NUM!</v>
      </c>
      <c r="V144" s="129" t="s">
        <v>65</v>
      </c>
      <c r="W144" s="128" t="e">
        <f>IF(L141&gt;1,NORMSDIST((AD144-LN(L141))/AB144),1-NORMSDIST((AD144-LN(L141))/AB144))*100</f>
        <v>#NUM!</v>
      </c>
      <c r="X144" s="129" t="s">
        <v>65</v>
      </c>
      <c r="Y144" s="186" t="e">
        <f>S144/(100-S144)/(W144/(100-W144))</f>
        <v>#NUM!</v>
      </c>
      <c r="Z144" s="107"/>
      <c r="AA144" s="72" t="e">
        <f>-LN(IF(ISNUMBER(H141),H141,SQRT(G141/F141)))/NORMSINV((100-I141)/200)</f>
        <v>#DIV/0!</v>
      </c>
      <c r="AB144" s="474" t="e">
        <f>SQRT(AA144^2+AA145^2)/2</f>
        <v>#DIV/0!</v>
      </c>
      <c r="AC144" s="491"/>
      <c r="AD144" s="474" t="e">
        <f>LN(SQRT(E141*E142))</f>
        <v>#NUM!</v>
      </c>
    </row>
    <row r="145" spans="2:30" s="87" customFormat="1" ht="18" customHeight="1">
      <c r="B145" s="93"/>
      <c r="C145" s="89"/>
      <c r="D145" s="89"/>
      <c r="E145" s="90"/>
      <c r="F145" s="91"/>
      <c r="G145" s="91"/>
      <c r="H145" s="91"/>
      <c r="I145" s="89"/>
      <c r="J145" s="89"/>
      <c r="K145" s="89"/>
      <c r="L145" s="89"/>
      <c r="M145" s="451"/>
      <c r="N145" s="451"/>
      <c r="O145" s="451"/>
      <c r="P145" s="451"/>
      <c r="Q145" s="476"/>
      <c r="R145" s="476"/>
      <c r="S145" s="489" t="e">
        <f>IF(S144&lt;$E$36,$D$36,IF(S144&lt;$G$36,$F$36,IF(S144&lt;$I$36,$H$36,IF(S144&lt;$K$36,$J$36,IF(S144&lt;$M$36,$L$36,IF(S144&lt;$O$36,$N$36,$P$36))))))</f>
        <v>#NUM!</v>
      </c>
      <c r="T145" s="490"/>
      <c r="U145" s="489" t="e">
        <f>IF(U144&lt;$E$36,$D$36,IF(U144&lt;$G$36,$F$36,IF(U144&lt;$I$36,$H$36,IF(U144&lt;$K$36,$J$36,IF(U144&lt;$M$36,$L$36,IF(U144&lt;$O$36,$N$36,$P$36))))))</f>
        <v>#NUM!</v>
      </c>
      <c r="V145" s="490"/>
      <c r="W145" s="489" t="e">
        <f>IF(W144&lt;$E$36,$D$36,IF(W144&lt;$G$36,$F$36,IF(W144&lt;$I$36,$H$36,IF(W144&lt;$K$36,$J$36,IF(W144&lt;$M$36,$L$36,IF(W144&lt;$O$36,$N$36,$P$36))))))</f>
        <v>#NUM!</v>
      </c>
      <c r="X145" s="490"/>
      <c r="Y145" s="45"/>
      <c r="Z145" s="107"/>
      <c r="AA145" s="72" t="e">
        <f>-LN(IF(ISNUMBER(H142),H142,SQRT(G142/F142)))/NORMSINV((100-I142)/200)</f>
        <v>#DIV/0!</v>
      </c>
      <c r="AB145" s="474"/>
      <c r="AC145" s="491"/>
      <c r="AD145" s="474"/>
    </row>
    <row r="146" spans="2:27" ht="13.5" customHeight="1">
      <c r="B146" s="40"/>
      <c r="C146" s="40"/>
      <c r="D146" s="40"/>
      <c r="E146" s="40"/>
      <c r="F146" s="40"/>
      <c r="G146" s="40"/>
      <c r="H146" s="40"/>
      <c r="I146" s="40"/>
      <c r="J146" s="40"/>
      <c r="K146" s="40"/>
      <c r="L146" s="40"/>
      <c r="M146" s="40"/>
      <c r="N146" s="23"/>
      <c r="O146" s="73"/>
      <c r="P146" s="73"/>
      <c r="Q146" s="206" t="e">
        <f>IF(AND(W144&gt;$E$36,Y144&gt;$I$36/$K$36/($E$36/$O$36)),"Less conservative clinical: '"&amp;S145&amp;" beneficial, consider using' because odds ratio is &gt;"&amp;ROUND($I$36/$K$36/($E$36/$O$36),1)&amp;".","")</f>
        <v>#NUM!</v>
      </c>
      <c r="R146" s="204"/>
      <c r="S146" s="204"/>
      <c r="T146" s="204"/>
      <c r="U146" s="204"/>
      <c r="V146" s="204"/>
      <c r="W146" s="204"/>
      <c r="X146" s="205"/>
      <c r="Y146" s="30"/>
      <c r="Z146" s="112"/>
      <c r="AA146" s="1"/>
    </row>
    <row r="147" spans="3:24" ht="13.5" thickBot="1">
      <c r="C147" s="146"/>
      <c r="X147" s="13"/>
    </row>
    <row r="148" spans="1:26" s="21" customFormat="1" ht="15.75" customHeight="1">
      <c r="A148" s="125"/>
      <c r="B148" s="164" t="s">
        <v>25</v>
      </c>
      <c r="C148" s="165"/>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7"/>
      <c r="Z148" s="106"/>
    </row>
    <row r="149" spans="1:25" ht="12.75">
      <c r="A149" s="125"/>
      <c r="B149" s="17" t="s">
        <v>28</v>
      </c>
      <c r="D149" s="17"/>
      <c r="E149" s="17"/>
      <c r="F149" s="17"/>
      <c r="G149" s="17"/>
      <c r="H149" s="17"/>
      <c r="I149" s="17"/>
      <c r="J149" s="17"/>
      <c r="K149" s="17"/>
      <c r="L149" s="17"/>
      <c r="M149" s="17"/>
      <c r="N149" s="17"/>
      <c r="O149" s="17"/>
      <c r="P149" s="17"/>
      <c r="Q149" s="17"/>
      <c r="R149" s="17"/>
      <c r="S149" s="17"/>
      <c r="T149" s="17"/>
      <c r="U149" s="17"/>
      <c r="V149" s="17"/>
      <c r="W149" s="17"/>
      <c r="X149" s="17"/>
      <c r="Y149" s="125"/>
    </row>
    <row r="150" spans="1:25" ht="12.75">
      <c r="A150" s="125"/>
      <c r="B150" s="17"/>
      <c r="C150" s="1" t="s">
        <v>84</v>
      </c>
      <c r="D150" s="17"/>
      <c r="E150" s="17"/>
      <c r="F150" s="17"/>
      <c r="G150" s="17"/>
      <c r="H150" s="17"/>
      <c r="I150" s="17"/>
      <c r="J150" s="17"/>
      <c r="K150" s="17"/>
      <c r="L150" s="17"/>
      <c r="M150" s="17"/>
      <c r="N150" s="17"/>
      <c r="O150" s="17"/>
      <c r="P150" s="17"/>
      <c r="Q150" s="17"/>
      <c r="R150" s="17"/>
      <c r="S150" s="17"/>
      <c r="T150" s="17"/>
      <c r="U150" s="17"/>
      <c r="V150" s="17"/>
      <c r="W150" s="17"/>
      <c r="X150" s="17"/>
      <c r="Y150" s="125"/>
    </row>
    <row r="151" spans="1:25" ht="12.75">
      <c r="A151" s="125"/>
      <c r="B151" s="2" t="s">
        <v>282</v>
      </c>
      <c r="D151" s="2"/>
      <c r="E151" s="2"/>
      <c r="F151" s="2"/>
      <c r="G151" s="2"/>
      <c r="H151" s="2"/>
      <c r="I151" s="2"/>
      <c r="J151" s="2"/>
      <c r="K151" s="2"/>
      <c r="L151" s="2"/>
      <c r="M151" s="2"/>
      <c r="N151" s="2"/>
      <c r="O151" s="2"/>
      <c r="R151" s="2"/>
      <c r="S151" s="2"/>
      <c r="T151" s="2"/>
      <c r="U151" s="2"/>
      <c r="V151" s="2"/>
      <c r="W151" s="2"/>
      <c r="X151" s="2"/>
      <c r="Y151" s="125"/>
    </row>
    <row r="152" spans="1:25" ht="12.75">
      <c r="A152" s="125"/>
      <c r="B152" s="2" t="s">
        <v>289</v>
      </c>
      <c r="D152" s="2"/>
      <c r="E152" s="2"/>
      <c r="F152" s="2"/>
      <c r="G152" s="2"/>
      <c r="H152" s="2"/>
      <c r="I152" s="2"/>
      <c r="J152" s="2"/>
      <c r="K152" s="2"/>
      <c r="L152" s="2"/>
      <c r="M152" s="2"/>
      <c r="N152" s="2"/>
      <c r="O152" s="2"/>
      <c r="R152" s="2"/>
      <c r="S152" s="2"/>
      <c r="T152" s="2"/>
      <c r="U152" s="2"/>
      <c r="V152" s="2"/>
      <c r="W152" s="2"/>
      <c r="X152" s="2"/>
      <c r="Y152" s="125"/>
    </row>
    <row r="153" spans="1:25" ht="12.75">
      <c r="A153" s="125"/>
      <c r="B153" s="2" t="s">
        <v>290</v>
      </c>
      <c r="D153" s="2"/>
      <c r="E153" s="2"/>
      <c r="F153" s="2"/>
      <c r="G153" s="2"/>
      <c r="H153" s="2"/>
      <c r="I153" s="2"/>
      <c r="J153" s="2"/>
      <c r="K153" s="2"/>
      <c r="L153" s="2"/>
      <c r="M153" s="2"/>
      <c r="N153" s="2"/>
      <c r="O153" s="2"/>
      <c r="R153" s="76"/>
      <c r="S153" s="76"/>
      <c r="T153" s="76"/>
      <c r="U153" s="76"/>
      <c r="V153" s="2"/>
      <c r="W153" s="2"/>
      <c r="X153" s="2"/>
      <c r="Y153" s="125"/>
    </row>
    <row r="154" spans="1:25" ht="12.75">
      <c r="A154" s="125"/>
      <c r="B154" s="2"/>
      <c r="C154" s="1" t="s">
        <v>85</v>
      </c>
      <c r="D154" s="2"/>
      <c r="E154" s="2"/>
      <c r="F154" s="2"/>
      <c r="G154" s="2"/>
      <c r="H154" s="2"/>
      <c r="I154" s="2"/>
      <c r="J154" s="2"/>
      <c r="K154" s="2"/>
      <c r="L154" s="2"/>
      <c r="M154" s="2"/>
      <c r="N154" s="2"/>
      <c r="O154" s="2"/>
      <c r="R154" s="2"/>
      <c r="S154" s="2"/>
      <c r="T154" s="2"/>
      <c r="U154" s="2"/>
      <c r="V154" s="2"/>
      <c r="W154" s="2"/>
      <c r="X154" s="2"/>
      <c r="Y154" s="125"/>
    </row>
    <row r="155" spans="1:25" ht="12.75">
      <c r="A155" s="125"/>
      <c r="B155" s="41" t="s">
        <v>291</v>
      </c>
      <c r="D155" s="2"/>
      <c r="E155" s="2"/>
      <c r="F155" s="2"/>
      <c r="G155" s="2"/>
      <c r="H155" s="2"/>
      <c r="I155" s="2"/>
      <c r="J155" s="2"/>
      <c r="K155" s="2"/>
      <c r="L155" s="2"/>
      <c r="M155" s="2"/>
      <c r="N155" s="2"/>
      <c r="O155" s="2"/>
      <c r="R155" s="2"/>
      <c r="S155" s="2"/>
      <c r="T155" s="2"/>
      <c r="U155" s="2"/>
      <c r="V155" s="2"/>
      <c r="W155" s="2"/>
      <c r="X155" s="2"/>
      <c r="Y155" s="125"/>
    </row>
    <row r="156" spans="1:25" ht="13.5" thickBot="1">
      <c r="A156" s="125"/>
      <c r="B156" s="41"/>
      <c r="C156" s="2"/>
      <c r="D156" s="2"/>
      <c r="E156" s="2"/>
      <c r="F156" s="2"/>
      <c r="G156" s="2"/>
      <c r="H156" s="2"/>
      <c r="I156" s="2"/>
      <c r="J156" s="2"/>
      <c r="K156" s="2"/>
      <c r="L156" s="2"/>
      <c r="M156" s="2"/>
      <c r="N156" s="2"/>
      <c r="O156" s="2"/>
      <c r="R156" s="2"/>
      <c r="S156" s="2"/>
      <c r="T156" s="2"/>
      <c r="U156" s="2"/>
      <c r="V156" s="2"/>
      <c r="W156" s="2"/>
      <c r="X156" s="2"/>
      <c r="Y156" s="125"/>
    </row>
    <row r="157" spans="1:29" ht="9" customHeight="1">
      <c r="A157" s="29"/>
      <c r="B157" s="207"/>
      <c r="C157" s="209"/>
      <c r="D157" s="209"/>
      <c r="E157" s="209"/>
      <c r="F157" s="209"/>
      <c r="G157" s="209"/>
      <c r="H157" s="209"/>
      <c r="I157" s="209"/>
      <c r="J157" s="209"/>
      <c r="K157" s="209"/>
      <c r="L157" s="209"/>
      <c r="M157" s="209"/>
      <c r="N157" s="209"/>
      <c r="O157" s="209"/>
      <c r="P157" s="209"/>
      <c r="Q157" s="209"/>
      <c r="R157" s="209"/>
      <c r="S157" s="210"/>
      <c r="T157" s="210"/>
      <c r="U157" s="210"/>
      <c r="V157" s="210"/>
      <c r="W157" s="210"/>
      <c r="X157" s="210"/>
      <c r="Y157" s="211"/>
      <c r="Z157" s="113"/>
      <c r="AA157" s="1"/>
      <c r="AB157" s="1"/>
      <c r="AC157" s="1"/>
    </row>
    <row r="158" spans="2:27" ht="12.75" customHeight="1">
      <c r="B158" s="44"/>
      <c r="C158" s="446" t="s">
        <v>100</v>
      </c>
      <c r="D158" s="447"/>
      <c r="E158" s="447"/>
      <c r="F158" s="447"/>
      <c r="G158" s="447"/>
      <c r="H158" s="447"/>
      <c r="I158" s="447"/>
      <c r="J158" s="448"/>
      <c r="K158" s="497" t="s">
        <v>63</v>
      </c>
      <c r="L158" s="498"/>
      <c r="M158" s="446" t="s">
        <v>141</v>
      </c>
      <c r="N158" s="447"/>
      <c r="O158" s="447"/>
      <c r="P158" s="447"/>
      <c r="Q158" s="447"/>
      <c r="R158" s="448"/>
      <c r="S158" s="516" t="s">
        <v>64</v>
      </c>
      <c r="T158" s="517"/>
      <c r="U158" s="517"/>
      <c r="V158" s="517"/>
      <c r="W158" s="517"/>
      <c r="X158" s="518"/>
      <c r="Y158" s="45"/>
      <c r="Z158" s="41"/>
      <c r="AA158" s="1"/>
    </row>
    <row r="159" spans="2:27" ht="12.75" customHeight="1">
      <c r="B159" s="44"/>
      <c r="C159" s="449" t="s">
        <v>18</v>
      </c>
      <c r="D159" s="456" t="s">
        <v>30</v>
      </c>
      <c r="E159" s="466" t="s">
        <v>22</v>
      </c>
      <c r="F159" s="458" t="s">
        <v>194</v>
      </c>
      <c r="G159" s="459"/>
      <c r="H159" s="460"/>
      <c r="I159" s="463" t="s">
        <v>185</v>
      </c>
      <c r="J159" s="463"/>
      <c r="K159" s="102" t="s">
        <v>72</v>
      </c>
      <c r="L159" s="103" t="s">
        <v>73</v>
      </c>
      <c r="M159" s="23" t="s">
        <v>19</v>
      </c>
      <c r="N159" s="458" t="str">
        <f>J161&amp;"% compatibility limits"</f>
        <v>90% compatibility limits</v>
      </c>
      <c r="O159" s="459"/>
      <c r="P159" s="460"/>
      <c r="Q159" s="497" t="s">
        <v>162</v>
      </c>
      <c r="R159" s="498"/>
      <c r="S159" s="504" t="str">
        <f>"...beneficial or
substantially "&amp;K160</f>
        <v>...beneficial or
substantially +ive</v>
      </c>
      <c r="T159" s="505"/>
      <c r="U159" s="508" t="s">
        <v>70</v>
      </c>
      <c r="V159" s="509"/>
      <c r="W159" s="512" t="str">
        <f>"...harmful or 
substantially "&amp;L160</f>
        <v>...harmful or 
substantially –ive</v>
      </c>
      <c r="X159" s="513"/>
      <c r="Y159" s="461" t="s">
        <v>125</v>
      </c>
      <c r="Z159" s="41"/>
      <c r="AA159" s="1"/>
    </row>
    <row r="160" spans="2:31" ht="13.5" customHeight="1">
      <c r="B160" s="44"/>
      <c r="C160" s="449"/>
      <c r="D160" s="457"/>
      <c r="E160" s="467"/>
      <c r="F160" s="38" t="s">
        <v>15</v>
      </c>
      <c r="G160" s="39" t="s">
        <v>16</v>
      </c>
      <c r="H160" s="37" t="s">
        <v>101</v>
      </c>
      <c r="I160" s="24" t="s">
        <v>3</v>
      </c>
      <c r="J160" s="25" t="s">
        <v>20</v>
      </c>
      <c r="K160" s="104" t="str">
        <f>IF(ISBLANK(K161),"???",IF(K161&lt;0,"–ive","+ive"))</f>
        <v>+ive</v>
      </c>
      <c r="L160" s="105" t="str">
        <f>IF(TYPE(L161)=2,"???",IF(L161&lt;0,"–ive","+ive"))</f>
        <v>–ive</v>
      </c>
      <c r="M160" s="19" t="str">
        <f>C161&amp;"-"&amp;C162</f>
        <v>A-B</v>
      </c>
      <c r="N160" s="25" t="s">
        <v>0</v>
      </c>
      <c r="O160" s="25" t="s">
        <v>1</v>
      </c>
      <c r="P160" s="22" t="s">
        <v>74</v>
      </c>
      <c r="Q160" s="82" t="s">
        <v>66</v>
      </c>
      <c r="R160" s="74" t="s">
        <v>138</v>
      </c>
      <c r="S160" s="527"/>
      <c r="T160" s="528"/>
      <c r="U160" s="531"/>
      <c r="V160" s="532"/>
      <c r="W160" s="529"/>
      <c r="X160" s="530"/>
      <c r="Y160" s="462"/>
      <c r="Z160" s="41"/>
      <c r="AA160" s="3" t="s">
        <v>106</v>
      </c>
      <c r="AB160" s="4" t="s">
        <v>5</v>
      </c>
      <c r="AC160" s="5" t="s">
        <v>19</v>
      </c>
      <c r="AD160" s="197" t="s">
        <v>146</v>
      </c>
      <c r="AE160" s="197" t="s">
        <v>147</v>
      </c>
    </row>
    <row r="161" spans="2:31" s="87" customFormat="1" ht="18" customHeight="1">
      <c r="B161" s="83"/>
      <c r="C161" s="94" t="s">
        <v>7</v>
      </c>
      <c r="D161" s="98">
        <v>0.6</v>
      </c>
      <c r="E161" s="99">
        <v>50</v>
      </c>
      <c r="F161" s="98"/>
      <c r="G161" s="98"/>
      <c r="H161" s="75"/>
      <c r="I161" s="96">
        <v>90</v>
      </c>
      <c r="J161" s="452">
        <f>100-2*$G$36</f>
        <v>90</v>
      </c>
      <c r="K161" s="533">
        <v>0.1</v>
      </c>
      <c r="L161" s="478">
        <f>IF(ISBLANK(K161)," ",-K161)</f>
        <v>-0.1</v>
      </c>
      <c r="M161" s="481">
        <f>D161-D162</f>
        <v>-0.0010000000000000009</v>
      </c>
      <c r="N161" s="481">
        <f>AE161+NORMSINV((100-J161)/200)*AD161</f>
        <v>-0.23214759900812953</v>
      </c>
      <c r="O161" s="481">
        <f>AE161-NORMSINV((100-J161)/200)*AD161</f>
        <v>0.23014759900812953</v>
      </c>
      <c r="P161" s="481">
        <f>(O161-N161)/2</f>
        <v>0.23114759900812953</v>
      </c>
      <c r="Q161" s="472" t="str">
        <f>IF(S161&lt;$I$36,IF(MAX(U161,W161)=U161,U162&amp;" trivial; don't use",W162&amp;" harmful; don't use"),IF(W161&lt;$E$36,S162&amp;" beneficial; consider using","unclear; don't use; get more data"))</f>
        <v>possibly trivial; don't use</v>
      </c>
      <c r="R161" s="472" t="str">
        <f>IF(MIN(S161,W161)&gt;$G$36,"unclear; get more data",IF(MAX(S161,U161,W161)=S161,S162&amp;" "&amp;K160,IF(MAX(S161,U161,W161)=U161,U162&amp;" trivial",W162&amp;" "&amp;L160)))</f>
        <v>unclear; get more data</v>
      </c>
      <c r="S161" s="126">
        <f>IF(K161&gt;0,NORMSDIST((AE161-K161)/AD161),1-NORMSDIST((AE161-K161)/AD161))*100</f>
        <v>23.61569769184139</v>
      </c>
      <c r="T161" s="127" t="s">
        <v>65</v>
      </c>
      <c r="U161" s="126">
        <f>100-S161-W161</f>
        <v>52.32782925908733</v>
      </c>
      <c r="V161" s="127" t="s">
        <v>65</v>
      </c>
      <c r="W161" s="126">
        <f>IF(L161&gt;0,NORMSDIST((AE161-L161)/AD161),1-NORMSDIST((AE161-L161)/AD161))*100</f>
        <v>24.05647304907128</v>
      </c>
      <c r="X161" s="127" t="s">
        <v>65</v>
      </c>
      <c r="Y161" s="185">
        <f>S161/(100-S161)/(W161/(100-W161))</f>
        <v>0.9760127072894403</v>
      </c>
      <c r="Z161" s="107"/>
      <c r="AA161" s="72">
        <f>IF(ISNUMBER(D161),IF(ISNUMBER(E161),1/SQRT(E161-3),IF(AND(ISNUMBER(H161),I161&gt;0),-(FISHER(D161+H161)-FISHER(D161-H161))/2/NORMSINV((100-I161)/200),IF(AND(ISNUMBER(G161),ISNUMBER(F161),I161&gt;0),-(FISHER(G161)-FISHER(F161))/2/NORMSINV((100-I161)/200),1/0))),"")</f>
        <v>0.14586499149789456</v>
      </c>
      <c r="AB161" s="474">
        <f>SQRT(SUMPRODUCT(AA161:AA162,AA161:AA162))</f>
        <v>0.21978085169483688</v>
      </c>
      <c r="AC161" s="492">
        <f>FISHER(D161)-FISHER(D162)</f>
        <v>-0.0015639674934803116</v>
      </c>
      <c r="AD161" s="537">
        <f>M161/(AC161/AB161)</f>
        <v>0.14052776199699438</v>
      </c>
      <c r="AE161" s="538">
        <f>M161</f>
        <v>-0.0010000000000000009</v>
      </c>
    </row>
    <row r="162" spans="2:31" s="87" customFormat="1" ht="18" customHeight="1">
      <c r="B162" s="83"/>
      <c r="C162" s="94" t="s">
        <v>8</v>
      </c>
      <c r="D162" s="98">
        <v>0.601</v>
      </c>
      <c r="E162" s="99">
        <v>40</v>
      </c>
      <c r="F162" s="98"/>
      <c r="G162" s="98"/>
      <c r="H162" s="75"/>
      <c r="I162" s="97">
        <f>IF(ISBLANK(I161),"",I161)</f>
        <v>90</v>
      </c>
      <c r="J162" s="453"/>
      <c r="K162" s="534"/>
      <c r="L162" s="479"/>
      <c r="M162" s="482"/>
      <c r="N162" s="482"/>
      <c r="O162" s="482"/>
      <c r="P162" s="482"/>
      <c r="Q162" s="487"/>
      <c r="R162" s="487"/>
      <c r="S162" s="499" t="str">
        <f>IF(S161&lt;$E$36,$D$36,IF(S161&lt;$G$36,$F$36,IF(S161&lt;$I$36,$H$36,IF(S161&lt;$K$36,$J$36,IF(S161&lt;$M$36,$L$36,IF(S161&lt;$O$36,$N$36,$P$36))))))</f>
        <v>unlikely</v>
      </c>
      <c r="T162" s="500"/>
      <c r="U162" s="499" t="str">
        <f>IF(U161&lt;$E$36,$D$36,IF(U161&lt;$G$36,$F$36,IF(U161&lt;$I$36,$H$36,IF(U161&lt;$K$36,$J$36,IF(U161&lt;$M$36,$L$36,IF(U161&lt;$O$36,$N$36,$P$36))))))</f>
        <v>possibly</v>
      </c>
      <c r="V162" s="500"/>
      <c r="W162" s="499" t="str">
        <f>IF(W161&lt;$E$36,$D$36,IF(W161&lt;$G$36,$F$36,IF(W161&lt;$I$36,$H$36,IF(W161&lt;$K$36,$J$36,IF(W161&lt;$M$36,$L$36,IF(W161&lt;$O$36,$N$36,$P$36))))))</f>
        <v>unlikely</v>
      </c>
      <c r="X162" s="500"/>
      <c r="Y162" s="85"/>
      <c r="Z162" s="107"/>
      <c r="AA162" s="72">
        <f>IF(ISNUMBER(D162),IF(ISNUMBER(E162),1/SQRT(E162-3),IF(AND(ISNUMBER(H162),I162&gt;0),-(FISHER(D162+H162)-FISHER(D162-H162))/2/NORMSINV((100-I162)/200),IF(AND(ISNUMBER(G162),ISNUMBER(F162),I162&gt;0),-(FISHER(G162)-FISHER(F162))/2/NORMSINV((100-I162)/200),1/0))),"")</f>
        <v>0.1643989873053573</v>
      </c>
      <c r="AB162" s="474"/>
      <c r="AC162" s="492"/>
      <c r="AD162" s="537"/>
      <c r="AE162" s="538"/>
    </row>
    <row r="163" spans="2:31" ht="12.75">
      <c r="B163" s="44"/>
      <c r="C163" s="30"/>
      <c r="D163" s="483">
        <f>IF(OR(M161=0,M164=0),"If effect=0, spreadsheet does not work. Change one correlation by 0.001.","")</f>
      </c>
      <c r="E163" s="483"/>
      <c r="F163" s="483"/>
      <c r="G163" s="483"/>
      <c r="H163" s="483"/>
      <c r="I163" s="483"/>
      <c r="J163" s="483"/>
      <c r="K163" s="483"/>
      <c r="L163" s="484"/>
      <c r="M163" s="20" t="str">
        <f>"("&amp;C161&amp;"+"&amp;C162&amp;")/2"</f>
        <v>(A+B)/2</v>
      </c>
      <c r="N163" s="218"/>
      <c r="O163" s="217"/>
      <c r="P163" s="217"/>
      <c r="Q163" s="206">
        <f>IF(AND(W161&gt;$E$36,Y161&gt;$I$36/$K$36/($E$36/$O$36)),"Less conservative clinical: '"&amp;S162&amp;" beneficial, consider using' because odds ratio is &gt;"&amp;ROUND($I$36/$K$36/($E$36/$O$36),1)&amp;".","")</f>
      </c>
      <c r="R163" s="204"/>
      <c r="S163" s="204"/>
      <c r="T163" s="204"/>
      <c r="U163" s="204"/>
      <c r="V163" s="204"/>
      <c r="W163" s="204"/>
      <c r="X163" s="205"/>
      <c r="Y163" s="85"/>
      <c r="Z163" s="41"/>
      <c r="AB163" s="4" t="s">
        <v>5</v>
      </c>
      <c r="AC163" s="5" t="s">
        <v>19</v>
      </c>
      <c r="AD163" s="197" t="s">
        <v>146</v>
      </c>
      <c r="AE163" s="197" t="s">
        <v>147</v>
      </c>
    </row>
    <row r="164" spans="2:31" s="87" customFormat="1" ht="18" customHeight="1">
      <c r="B164" s="83"/>
      <c r="C164" s="89"/>
      <c r="D164" s="89"/>
      <c r="E164" s="89"/>
      <c r="F164" s="91"/>
      <c r="G164" s="92"/>
      <c r="H164" s="89"/>
      <c r="I164" s="89"/>
      <c r="J164" s="89"/>
      <c r="K164" s="89"/>
      <c r="L164" s="89"/>
      <c r="M164" s="485">
        <f>FISHERINV(AC164)</f>
        <v>0.6005002347906638</v>
      </c>
      <c r="N164" s="485">
        <f>AE164+NORMSINV((100-J161)/200)*AD164</f>
        <v>0.44408280176073545</v>
      </c>
      <c r="O164" s="485">
        <f>AE164-NORMSINV((100-J161)/200)*AD164</f>
        <v>0.7569176678205922</v>
      </c>
      <c r="P164" s="485">
        <f>(O164-N164)/2</f>
        <v>0.1564174330299284</v>
      </c>
      <c r="Q164" s="476" t="str">
        <f>IF(S164&lt;$I$36,IF(MAX(U164,W164)=U164,U165&amp;" trivial; don't use",W165&amp;" harmful; don't use"),IF(W164&lt;$E$36,S165&amp;" beneficial; consider using","unclear; don't use; get more data"))</f>
        <v>most likely beneficial; consider using</v>
      </c>
      <c r="R164" s="476" t="str">
        <f>IF(MIN(S164,W164)&gt;$G$36,"unclear; get more data",IF(MAX(S164,U164,W164)=S164,S165&amp;" "&amp;K160,IF(MAX(S164,U164,W164)=U164,U165&amp;" trivial",W165&amp;" "&amp;L160)))</f>
        <v>most likely +ive</v>
      </c>
      <c r="S164" s="128">
        <f>IF(K161&gt;0,NORMSDIST((AE164-K161)/AD164),1-NORMSDIST((AE164-K161)/AD164))*100</f>
        <v>99.99999291990143</v>
      </c>
      <c r="T164" s="129" t="s">
        <v>65</v>
      </c>
      <c r="U164" s="128">
        <f>100-S164-W164</f>
        <v>7.0800897988831935E-06</v>
      </c>
      <c r="V164" s="129" t="s">
        <v>65</v>
      </c>
      <c r="W164" s="128">
        <f>IF(L161&gt;0,NORMSDIST((AE164-L161)/AD164),1-NORMSDIST((AE164-L161)/AD164))*100</f>
        <v>8.770761894538737E-12</v>
      </c>
      <c r="X164" s="129" t="s">
        <v>65</v>
      </c>
      <c r="Y164" s="186">
        <f>S164/(100-S164)/(W164/(100-W164))</f>
        <v>1.6103613706196976E+20</v>
      </c>
      <c r="Z164" s="107"/>
      <c r="AB164" s="474">
        <f>SQRT(SUMPRODUCT(AA161:AA162,AA161:AA162))/2</f>
        <v>0.10989042584741844</v>
      </c>
      <c r="AC164" s="492">
        <f>IF(OR(ISBLANK(D161),ISBLANK(D162)),"",(FISHER(D161)+FISHER(D162))/2)</f>
        <v>0.6939291643066854</v>
      </c>
      <c r="AD164" s="537">
        <f>M164/(AC164/AB164)</f>
        <v>0.09509504704064656</v>
      </c>
      <c r="AE164" s="538">
        <f>M164</f>
        <v>0.6005002347906638</v>
      </c>
    </row>
    <row r="165" spans="2:31" s="87" customFormat="1" ht="18" customHeight="1">
      <c r="B165" s="83"/>
      <c r="C165" s="89"/>
      <c r="D165" s="89"/>
      <c r="E165" s="89"/>
      <c r="F165" s="91"/>
      <c r="G165" s="91"/>
      <c r="H165" s="91"/>
      <c r="I165" s="89"/>
      <c r="J165" s="89"/>
      <c r="K165" s="89"/>
      <c r="L165" s="89"/>
      <c r="M165" s="486"/>
      <c r="N165" s="486"/>
      <c r="O165" s="486"/>
      <c r="P165" s="486"/>
      <c r="Q165" s="476"/>
      <c r="R165" s="476"/>
      <c r="S165" s="489" t="str">
        <f>IF(S164&lt;$E$36,$D$36,IF(S164&lt;$G$36,$F$36,IF(S164&lt;$I$36,$H$36,IF(S164&lt;$K$36,$J$36,IF(S164&lt;$M$36,$L$36,IF(S164&lt;$O$36,$N$36,$P$36))))))</f>
        <v>most likely</v>
      </c>
      <c r="T165" s="490"/>
      <c r="U165" s="489" t="str">
        <f>IF(U164&lt;$E$36,$D$36,IF(U164&lt;$G$36,$F$36,IF(U164&lt;$I$36,$H$36,IF(U164&lt;$K$36,$J$36,IF(U164&lt;$M$36,$L$36,IF(U164&lt;$O$36,$N$36,$P$36))))))</f>
        <v>most unlikely</v>
      </c>
      <c r="V165" s="490"/>
      <c r="W165" s="489" t="str">
        <f>IF(W164&lt;$E$36,$D$36,IF(W164&lt;$G$36,$F$36,IF(W164&lt;$I$36,$H$36,IF(W164&lt;$K$36,$J$36,IF(W164&lt;$M$36,$L$36,IF(W164&lt;$O$36,$N$36,$P$36))))))</f>
        <v>most unlikely</v>
      </c>
      <c r="X165" s="490"/>
      <c r="Y165" s="45"/>
      <c r="Z165" s="107"/>
      <c r="AB165" s="474"/>
      <c r="AC165" s="492"/>
      <c r="AD165" s="537"/>
      <c r="AE165" s="538"/>
    </row>
    <row r="166" spans="1:26" ht="11.25" customHeight="1" thickBot="1">
      <c r="A166" s="29"/>
      <c r="B166" s="46"/>
      <c r="C166" s="49"/>
      <c r="D166" s="49"/>
      <c r="E166" s="49"/>
      <c r="F166" s="49"/>
      <c r="G166" s="49"/>
      <c r="H166" s="49"/>
      <c r="I166" s="49"/>
      <c r="J166" s="49"/>
      <c r="K166" s="49"/>
      <c r="L166" s="49"/>
      <c r="M166" s="49"/>
      <c r="N166" s="223"/>
      <c r="O166" s="224"/>
      <c r="P166" s="224"/>
      <c r="Q166" s="214">
        <f>IF(AND(W164&gt;$E$36,Y164&gt;$I$36/$K$36/($E$36/$O$36)),"Less conservative clinical: '"&amp;S165&amp;" beneficial, consider using' because odds ratio is &gt;"&amp;ROUND($I$36/$K$36/($E$36/$O$36),1)&amp;".","")</f>
      </c>
      <c r="R166" s="215"/>
      <c r="S166" s="215"/>
      <c r="T166" s="215"/>
      <c r="U166" s="215"/>
      <c r="V166" s="215"/>
      <c r="W166" s="215"/>
      <c r="X166" s="216"/>
      <c r="Y166" s="48"/>
      <c r="Z166" s="113"/>
    </row>
    <row r="167" spans="1:26" ht="9" customHeight="1">
      <c r="A167" s="29"/>
      <c r="B167" s="207"/>
      <c r="C167" s="209"/>
      <c r="D167" s="209"/>
      <c r="E167" s="209"/>
      <c r="F167" s="209"/>
      <c r="G167" s="209"/>
      <c r="H167" s="209"/>
      <c r="I167" s="209"/>
      <c r="J167" s="209"/>
      <c r="K167" s="209"/>
      <c r="L167" s="209"/>
      <c r="M167" s="209"/>
      <c r="N167" s="209"/>
      <c r="O167" s="209"/>
      <c r="P167" s="209"/>
      <c r="Q167" s="209"/>
      <c r="R167" s="209"/>
      <c r="S167" s="210"/>
      <c r="T167" s="210"/>
      <c r="U167" s="210"/>
      <c r="V167" s="210"/>
      <c r="W167" s="210"/>
      <c r="X167" s="210"/>
      <c r="Y167" s="211"/>
      <c r="Z167" s="113"/>
    </row>
    <row r="168" spans="2:27" ht="12.75" customHeight="1">
      <c r="B168" s="44"/>
      <c r="C168" s="446" t="s">
        <v>100</v>
      </c>
      <c r="D168" s="447"/>
      <c r="E168" s="447"/>
      <c r="F168" s="447"/>
      <c r="G168" s="447"/>
      <c r="H168" s="447"/>
      <c r="I168" s="447"/>
      <c r="J168" s="448"/>
      <c r="K168" s="497" t="s">
        <v>63</v>
      </c>
      <c r="L168" s="498"/>
      <c r="M168" s="446" t="s">
        <v>141</v>
      </c>
      <c r="N168" s="447"/>
      <c r="O168" s="447"/>
      <c r="P168" s="447"/>
      <c r="Q168" s="447"/>
      <c r="R168" s="448"/>
      <c r="S168" s="516" t="s">
        <v>64</v>
      </c>
      <c r="T168" s="517"/>
      <c r="U168" s="517"/>
      <c r="V168" s="517"/>
      <c r="W168" s="517"/>
      <c r="X168" s="518"/>
      <c r="Y168" s="45"/>
      <c r="Z168" s="41"/>
      <c r="AA168" s="1"/>
    </row>
    <row r="169" spans="2:27" ht="12.75" customHeight="1">
      <c r="B169" s="44"/>
      <c r="C169" s="449" t="s">
        <v>18</v>
      </c>
      <c r="D169" s="456" t="s">
        <v>30</v>
      </c>
      <c r="E169" s="466" t="s">
        <v>22</v>
      </c>
      <c r="F169" s="458" t="s">
        <v>194</v>
      </c>
      <c r="G169" s="459"/>
      <c r="H169" s="460"/>
      <c r="I169" s="463" t="s">
        <v>185</v>
      </c>
      <c r="J169" s="463"/>
      <c r="K169" s="102" t="s">
        <v>72</v>
      </c>
      <c r="L169" s="103" t="s">
        <v>73</v>
      </c>
      <c r="M169" s="23" t="s">
        <v>19</v>
      </c>
      <c r="N169" s="458" t="str">
        <f>J171&amp;"% compatibility limits"</f>
        <v>90% compatibility limits</v>
      </c>
      <c r="O169" s="459"/>
      <c r="P169" s="460"/>
      <c r="Q169" s="497" t="s">
        <v>162</v>
      </c>
      <c r="R169" s="498"/>
      <c r="S169" s="504" t="str">
        <f>"...beneficial or
substantially "&amp;K170</f>
        <v>...beneficial or
substantially +ive</v>
      </c>
      <c r="T169" s="505"/>
      <c r="U169" s="508" t="s">
        <v>70</v>
      </c>
      <c r="V169" s="509"/>
      <c r="W169" s="512" t="str">
        <f>"...harmful or 
substantially "&amp;L170</f>
        <v>...harmful or 
substantially –ive</v>
      </c>
      <c r="X169" s="513"/>
      <c r="Y169" s="461" t="s">
        <v>125</v>
      </c>
      <c r="Z169" s="41"/>
      <c r="AA169" s="1"/>
    </row>
    <row r="170" spans="2:31" ht="13.5" customHeight="1">
      <c r="B170" s="44"/>
      <c r="C170" s="449"/>
      <c r="D170" s="457"/>
      <c r="E170" s="467"/>
      <c r="F170" s="38" t="s">
        <v>15</v>
      </c>
      <c r="G170" s="39" t="s">
        <v>16</v>
      </c>
      <c r="H170" s="37" t="s">
        <v>101</v>
      </c>
      <c r="I170" s="24" t="s">
        <v>3</v>
      </c>
      <c r="J170" s="25" t="s">
        <v>20</v>
      </c>
      <c r="K170" s="104" t="str">
        <f>IF(ISBLANK(K171),"???",IF(K171&lt;0,"–ive","+ive"))</f>
        <v>+ive</v>
      </c>
      <c r="L170" s="105" t="str">
        <f>IF(TYPE(L171)=2,"???",IF(L171&lt;0,"–ive","+ive"))</f>
        <v>–ive</v>
      </c>
      <c r="M170" s="19" t="str">
        <f>C171&amp;"-"&amp;C172</f>
        <v>A-B</v>
      </c>
      <c r="N170" s="25" t="s">
        <v>0</v>
      </c>
      <c r="O170" s="25" t="s">
        <v>1</v>
      </c>
      <c r="P170" s="22" t="s">
        <v>74</v>
      </c>
      <c r="Q170" s="82" t="s">
        <v>66</v>
      </c>
      <c r="R170" s="74" t="s">
        <v>138</v>
      </c>
      <c r="S170" s="527"/>
      <c r="T170" s="528"/>
      <c r="U170" s="531"/>
      <c r="V170" s="532"/>
      <c r="W170" s="529"/>
      <c r="X170" s="530"/>
      <c r="Y170" s="462"/>
      <c r="Z170" s="41"/>
      <c r="AA170" s="3" t="s">
        <v>106</v>
      </c>
      <c r="AB170" s="4" t="s">
        <v>5</v>
      </c>
      <c r="AC170" s="5" t="s">
        <v>19</v>
      </c>
      <c r="AD170" s="197" t="s">
        <v>146</v>
      </c>
      <c r="AE170" s="197" t="s">
        <v>147</v>
      </c>
    </row>
    <row r="171" spans="2:31" s="87" customFormat="1" ht="18" customHeight="1">
      <c r="B171" s="83"/>
      <c r="C171" s="94" t="s">
        <v>7</v>
      </c>
      <c r="D171" s="98"/>
      <c r="E171" s="99"/>
      <c r="F171" s="98"/>
      <c r="G171" s="98"/>
      <c r="H171" s="75"/>
      <c r="I171" s="96"/>
      <c r="J171" s="452">
        <f>100-2*$G$36</f>
        <v>90</v>
      </c>
      <c r="K171" s="533">
        <v>0.1</v>
      </c>
      <c r="L171" s="478">
        <f>IF(ISBLANK(K171)," ",-K171)</f>
        <v>-0.1</v>
      </c>
      <c r="M171" s="481">
        <f>D171-D172</f>
        <v>0</v>
      </c>
      <c r="N171" s="481" t="e">
        <f>AE171+NORMSINV((100-J171)/200)*AD171</f>
        <v>#DIV/0!</v>
      </c>
      <c r="O171" s="481" t="e">
        <f>AE171-NORMSINV((100-J171)/200)*AD171</f>
        <v>#DIV/0!</v>
      </c>
      <c r="P171" s="481" t="e">
        <f>(O171-N171)/2</f>
        <v>#DIV/0!</v>
      </c>
      <c r="Q171" s="472" t="e">
        <f>IF(S171&lt;$I$36,IF(MAX(U171,W171)=U171,U172&amp;" trivial; don't use",W172&amp;" harmful; don't use"),IF(W171&lt;$E$36,S172&amp;" beneficial; consider using","unclear; don't use; get more data"))</f>
        <v>#DIV/0!</v>
      </c>
      <c r="R171" s="472" t="e">
        <f>IF(MIN(S171,W171)&gt;$G$36,"unclear; get more data",IF(MAX(S171,U171,W171)=S171,S172&amp;" "&amp;K170,IF(MAX(S171,U171,W171)=U171,U172&amp;" trivial",W172&amp;" "&amp;L170)))</f>
        <v>#DIV/0!</v>
      </c>
      <c r="S171" s="126" t="e">
        <f>IF(K171&gt;0,NORMSDIST((AE171-K171)/AD171),1-NORMSDIST((AE171-K171)/AD171))*100</f>
        <v>#DIV/0!</v>
      </c>
      <c r="T171" s="127" t="s">
        <v>65</v>
      </c>
      <c r="U171" s="126" t="e">
        <f>100-S171-W171</f>
        <v>#DIV/0!</v>
      </c>
      <c r="V171" s="127" t="s">
        <v>65</v>
      </c>
      <c r="W171" s="126" t="e">
        <f>IF(L171&gt;0,NORMSDIST((AE171-L171)/AD171),1-NORMSDIST((AE171-L171)/AD171))*100</f>
        <v>#DIV/0!</v>
      </c>
      <c r="X171" s="127" t="s">
        <v>65</v>
      </c>
      <c r="Y171" s="185" t="e">
        <f>S171/(100-S171)/(W171/(100-W171))</f>
        <v>#DIV/0!</v>
      </c>
      <c r="Z171" s="107"/>
      <c r="AA171" s="72">
        <f>IF(ISNUMBER(D171),IF(ISNUMBER(E171),1/SQRT(E171-3),IF(AND(ISNUMBER(H171),I171&gt;0),-(FISHER(D171+H171)-FISHER(D171-H171))/2/NORMSINV((100-I171)/200),IF(AND(ISNUMBER(G171),ISNUMBER(F171),I171&gt;0),-(FISHER(G171)-FISHER(F171))/2/NORMSINV((100-I171)/200),1/0))),"")</f>
      </c>
      <c r="AB171" s="474">
        <f>SQRT(SUMPRODUCT(AA171:AA172,AA171:AA172))</f>
        <v>0</v>
      </c>
      <c r="AC171" s="492">
        <f>FISHER(D171)-FISHER(D172)</f>
        <v>0</v>
      </c>
      <c r="AD171" s="537" t="e">
        <f>M171/(AC171/AB171)</f>
        <v>#DIV/0!</v>
      </c>
      <c r="AE171" s="538">
        <f>M171</f>
        <v>0</v>
      </c>
    </row>
    <row r="172" spans="2:31" s="87" customFormat="1" ht="18" customHeight="1">
      <c r="B172" s="83"/>
      <c r="C172" s="94" t="s">
        <v>8</v>
      </c>
      <c r="D172" s="98"/>
      <c r="E172" s="99"/>
      <c r="F172" s="98"/>
      <c r="G172" s="98"/>
      <c r="H172" s="75"/>
      <c r="I172" s="97">
        <f>IF(ISBLANK(I171),"",I171)</f>
      </c>
      <c r="J172" s="453"/>
      <c r="K172" s="534"/>
      <c r="L172" s="479"/>
      <c r="M172" s="482"/>
      <c r="N172" s="482"/>
      <c r="O172" s="482"/>
      <c r="P172" s="482"/>
      <c r="Q172" s="487"/>
      <c r="R172" s="487"/>
      <c r="S172" s="499" t="e">
        <f>IF(S171&lt;$E$36,$D$36,IF(S171&lt;$G$36,$F$36,IF(S171&lt;$I$36,$H$36,IF(S171&lt;$K$36,$J$36,IF(S171&lt;$M$36,$L$36,IF(S171&lt;$O$36,$N$36,$P$36))))))</f>
        <v>#DIV/0!</v>
      </c>
      <c r="T172" s="500"/>
      <c r="U172" s="499" t="e">
        <f>IF(U171&lt;$E$36,$D$36,IF(U171&lt;$G$36,$F$36,IF(U171&lt;$I$36,$H$36,IF(U171&lt;$K$36,$J$36,IF(U171&lt;$M$36,$L$36,IF(U171&lt;$O$36,$N$36,$P$36))))))</f>
        <v>#DIV/0!</v>
      </c>
      <c r="V172" s="500"/>
      <c r="W172" s="499" t="e">
        <f>IF(W171&lt;$E$36,$D$36,IF(W171&lt;$G$36,$F$36,IF(W171&lt;$I$36,$H$36,IF(W171&lt;$K$36,$J$36,IF(W171&lt;$M$36,$L$36,IF(W171&lt;$O$36,$N$36,$P$36))))))</f>
        <v>#DIV/0!</v>
      </c>
      <c r="X172" s="500"/>
      <c r="Y172" s="85"/>
      <c r="Z172" s="107"/>
      <c r="AA172" s="72">
        <f>IF(ISNUMBER(D172),IF(ISNUMBER(E172),1/SQRT(E172-3),IF(AND(ISNUMBER(H172),I172&gt;0),-(FISHER(D172+H172)-FISHER(D172-H172))/2/NORMSINV((100-I172)/200),IF(AND(ISNUMBER(G172),ISNUMBER(F172),I172&gt;0),-(FISHER(G172)-FISHER(F172))/2/NORMSINV((100-I172)/200),1/0))),"")</f>
      </c>
      <c r="AB172" s="474"/>
      <c r="AC172" s="492"/>
      <c r="AD172" s="537"/>
      <c r="AE172" s="538"/>
    </row>
    <row r="173" spans="2:31" ht="12.75">
      <c r="B173" s="44"/>
      <c r="C173" s="30"/>
      <c r="D173" s="444" t="e">
        <f>IF(OR(M171=0,M174=0),"If effect=0, spreadsheet does not work. Change one correlation by 0.001.","")</f>
        <v>#VALUE!</v>
      </c>
      <c r="E173" s="444"/>
      <c r="F173" s="444"/>
      <c r="G173" s="444"/>
      <c r="H173" s="444"/>
      <c r="I173" s="444"/>
      <c r="J173" s="444"/>
      <c r="K173" s="444"/>
      <c r="L173" s="445"/>
      <c r="M173" s="20" t="str">
        <f>"("&amp;C171&amp;"+"&amp;C172&amp;")/2"</f>
        <v>(A+B)/2</v>
      </c>
      <c r="N173" s="218"/>
      <c r="O173" s="217"/>
      <c r="P173" s="217"/>
      <c r="Q173" s="206" t="e">
        <f>IF(AND(W171&gt;$E$36,Y171&gt;$I$36/$K$36/($E$36/$O$36)),"Less conservative clinical: '"&amp;S172&amp;" beneficial, consider using' because odds ratio is &gt;"&amp;ROUND($I$36/$K$36/($E$36/$O$36),1)&amp;".","")</f>
        <v>#DIV/0!</v>
      </c>
      <c r="R173" s="204"/>
      <c r="S173" s="204"/>
      <c r="T173" s="204"/>
      <c r="U173" s="204"/>
      <c r="V173" s="204"/>
      <c r="W173" s="204"/>
      <c r="X173" s="205"/>
      <c r="Y173" s="85"/>
      <c r="Z173" s="41"/>
      <c r="AB173" s="4" t="s">
        <v>5</v>
      </c>
      <c r="AC173" s="5" t="s">
        <v>19</v>
      </c>
      <c r="AD173" s="197" t="s">
        <v>146</v>
      </c>
      <c r="AE173" s="197" t="s">
        <v>147</v>
      </c>
    </row>
    <row r="174" spans="2:31" s="87" customFormat="1" ht="18" customHeight="1">
      <c r="B174" s="83"/>
      <c r="C174" s="89"/>
      <c r="D174" s="89"/>
      <c r="E174" s="89"/>
      <c r="F174" s="91"/>
      <c r="G174" s="92"/>
      <c r="H174" s="89"/>
      <c r="I174" s="89"/>
      <c r="J174" s="89"/>
      <c r="K174" s="89"/>
      <c r="L174" s="89"/>
      <c r="M174" s="485" t="e">
        <f>FISHERINV(AC174)</f>
        <v>#VALUE!</v>
      </c>
      <c r="N174" s="485" t="e">
        <f>AE174+NORMSINV((100-J171)/200)*AD174</f>
        <v>#VALUE!</v>
      </c>
      <c r="O174" s="485" t="e">
        <f>AE174-NORMSINV((100-J171)/200)*AD174</f>
        <v>#VALUE!</v>
      </c>
      <c r="P174" s="485" t="e">
        <f>(O174-N174)/2</f>
        <v>#VALUE!</v>
      </c>
      <c r="Q174" s="476" t="e">
        <f>IF(S174&lt;$I$36,IF(MAX(U174,W174)=U174,U175&amp;" trivial; don't use",W175&amp;" harmful; don't use"),IF(W174&lt;$E$36,S175&amp;" beneficial; consider using","unclear; don't use; get more data"))</f>
        <v>#VALUE!</v>
      </c>
      <c r="R174" s="476" t="e">
        <f>IF(MIN(S174,W174)&gt;$G$36,"unclear; get more data",IF(MAX(S174,U174,W174)=S174,S175&amp;" "&amp;K170,IF(MAX(S174,U174,W174)=U174,U175&amp;" trivial",W175&amp;" "&amp;L170)))</f>
        <v>#VALUE!</v>
      </c>
      <c r="S174" s="128" t="e">
        <f>IF(K171&gt;0,NORMSDIST((AE174-K171)/AD174),1-NORMSDIST((AE174-K171)/AD174))*100</f>
        <v>#VALUE!</v>
      </c>
      <c r="T174" s="129" t="s">
        <v>65</v>
      </c>
      <c r="U174" s="128" t="e">
        <f>100-S174-W174</f>
        <v>#VALUE!</v>
      </c>
      <c r="V174" s="129" t="s">
        <v>65</v>
      </c>
      <c r="W174" s="128" t="e">
        <f>IF(L171&gt;0,NORMSDIST((AE174-L171)/AD174),1-NORMSDIST((AE174-L171)/AD174))*100</f>
        <v>#VALUE!</v>
      </c>
      <c r="X174" s="129" t="s">
        <v>65</v>
      </c>
      <c r="Y174" s="186" t="e">
        <f>S174/(100-S174)/(W174/(100-W174))</f>
        <v>#VALUE!</v>
      </c>
      <c r="Z174" s="107"/>
      <c r="AB174" s="474">
        <f>SQRT(SUMPRODUCT(AA171:AA172,AA171:AA172))/2</f>
        <v>0</v>
      </c>
      <c r="AC174" s="492">
        <f>IF(OR(ISBLANK(D171),ISBLANK(D172)),"",(FISHER(D171)+FISHER(D172))/2)</f>
      </c>
      <c r="AD174" s="537" t="e">
        <f>M174/(AC174/AB174)</f>
        <v>#VALUE!</v>
      </c>
      <c r="AE174" s="538" t="e">
        <f>M174</f>
        <v>#VALUE!</v>
      </c>
    </row>
    <row r="175" spans="2:31" s="87" customFormat="1" ht="18" customHeight="1">
      <c r="B175" s="83"/>
      <c r="C175" s="89"/>
      <c r="D175" s="89"/>
      <c r="E175" s="89"/>
      <c r="F175" s="91"/>
      <c r="G175" s="91"/>
      <c r="H175" s="91"/>
      <c r="I175" s="89"/>
      <c r="J175" s="89"/>
      <c r="K175" s="89"/>
      <c r="L175" s="89"/>
      <c r="M175" s="486"/>
      <c r="N175" s="486"/>
      <c r="O175" s="486"/>
      <c r="P175" s="486"/>
      <c r="Q175" s="476"/>
      <c r="R175" s="476"/>
      <c r="S175" s="489" t="e">
        <f>IF(S174&lt;$E$36,$D$36,IF(S174&lt;$G$36,$F$36,IF(S174&lt;$I$36,$H$36,IF(S174&lt;$K$36,$J$36,IF(S174&lt;$M$36,$L$36,IF(S174&lt;$O$36,$N$36,$P$36))))))</f>
        <v>#VALUE!</v>
      </c>
      <c r="T175" s="490"/>
      <c r="U175" s="489" t="e">
        <f>IF(U174&lt;$E$36,$D$36,IF(U174&lt;$G$36,$F$36,IF(U174&lt;$I$36,$H$36,IF(U174&lt;$K$36,$J$36,IF(U174&lt;$M$36,$L$36,IF(U174&lt;$O$36,$N$36,$P$36))))))</f>
        <v>#VALUE!</v>
      </c>
      <c r="V175" s="490"/>
      <c r="W175" s="489" t="e">
        <f>IF(W174&lt;$E$36,$D$36,IF(W174&lt;$G$36,$F$36,IF(W174&lt;$I$36,$H$36,IF(W174&lt;$K$36,$J$36,IF(W174&lt;$M$36,$L$36,IF(W174&lt;$O$36,$N$36,$P$36))))))</f>
        <v>#VALUE!</v>
      </c>
      <c r="X175" s="490"/>
      <c r="Y175" s="45"/>
      <c r="Z175" s="107"/>
      <c r="AB175" s="474"/>
      <c r="AC175" s="492"/>
      <c r="AD175" s="537"/>
      <c r="AE175" s="538"/>
    </row>
    <row r="176" spans="2:26" ht="12" customHeight="1" thickBot="1">
      <c r="B176" s="46"/>
      <c r="C176" s="47"/>
      <c r="D176" s="47"/>
      <c r="E176" s="47"/>
      <c r="F176" s="47"/>
      <c r="G176" s="47"/>
      <c r="H176" s="47"/>
      <c r="I176" s="47"/>
      <c r="J176" s="47"/>
      <c r="K176" s="47"/>
      <c r="L176" s="47"/>
      <c r="M176" s="47"/>
      <c r="N176" s="223"/>
      <c r="O176" s="224"/>
      <c r="P176" s="224"/>
      <c r="Q176" s="214" t="e">
        <f>IF(AND(W174&gt;$E$36,Y174&gt;$I$36/$K$36/($E$36/$O$36)),"Less conservative clinical: '"&amp;S175&amp;" beneficial, consider using' because odds ratio is &gt;"&amp;ROUND($I$36/$K$36/($E$36/$O$36),1)&amp;".","")</f>
        <v>#VALUE!</v>
      </c>
      <c r="R176" s="215"/>
      <c r="S176" s="215"/>
      <c r="T176" s="215"/>
      <c r="U176" s="215"/>
      <c r="V176" s="215"/>
      <c r="W176" s="215"/>
      <c r="X176" s="216"/>
      <c r="Y176" s="48"/>
      <c r="Z176" s="41"/>
    </row>
    <row r="177" ht="12.75"/>
    <row r="178" ht="12.75"/>
    <row r="179" ht="12.75"/>
    <row r="180" ht="12.75"/>
    <row r="181" ht="12.75"/>
    <row r="182" ht="12.75"/>
    <row r="183" ht="12.75"/>
    <row r="184" ht="12.75"/>
  </sheetData>
  <sheetProtection/>
  <mergeCells count="342">
    <mergeCell ref="AD174:AD175"/>
    <mergeCell ref="AE174:AE175"/>
    <mergeCell ref="AD161:AD162"/>
    <mergeCell ref="AE161:AE162"/>
    <mergeCell ref="AD164:AD165"/>
    <mergeCell ref="AE164:AE165"/>
    <mergeCell ref="AD171:AD172"/>
    <mergeCell ref="AE171:AE172"/>
    <mergeCell ref="O87:O88"/>
    <mergeCell ref="P87:P88"/>
    <mergeCell ref="E102:E103"/>
    <mergeCell ref="F102:H102"/>
    <mergeCell ref="I102:J102"/>
    <mergeCell ref="C101:I101"/>
    <mergeCell ref="C102:C103"/>
    <mergeCell ref="K101:L101"/>
    <mergeCell ref="AD104:AD105"/>
    <mergeCell ref="W105:X105"/>
    <mergeCell ref="R87:R88"/>
    <mergeCell ref="AB87:AB88"/>
    <mergeCell ref="S101:X101"/>
    <mergeCell ref="Q102:R102"/>
    <mergeCell ref="S102:T103"/>
    <mergeCell ref="U102:V103"/>
    <mergeCell ref="AB104:AB105"/>
    <mergeCell ref="AC104:AC105"/>
    <mergeCell ref="AD84:AD85"/>
    <mergeCell ref="AC87:AC88"/>
    <mergeCell ref="AD87:AD88"/>
    <mergeCell ref="W102:X103"/>
    <mergeCell ref="AC84:AC85"/>
    <mergeCell ref="W88:X88"/>
    <mergeCell ref="Q174:Q175"/>
    <mergeCell ref="AB171:AB172"/>
    <mergeCell ref="AC171:AC172"/>
    <mergeCell ref="C81:I81"/>
    <mergeCell ref="C82:C83"/>
    <mergeCell ref="D82:D83"/>
    <mergeCell ref="E82:E83"/>
    <mergeCell ref="F82:H82"/>
    <mergeCell ref="I82:J82"/>
    <mergeCell ref="AB84:AB85"/>
    <mergeCell ref="K104:K105"/>
    <mergeCell ref="L104:L105"/>
    <mergeCell ref="AC174:AC175"/>
    <mergeCell ref="AB174:AB175"/>
    <mergeCell ref="O174:O175"/>
    <mergeCell ref="P174:P175"/>
    <mergeCell ref="R174:R175"/>
    <mergeCell ref="W175:X175"/>
    <mergeCell ref="S175:T175"/>
    <mergeCell ref="U175:V175"/>
    <mergeCell ref="J141:J142"/>
    <mergeCell ref="M141:M142"/>
    <mergeCell ref="C111:I111"/>
    <mergeCell ref="K141:K142"/>
    <mergeCell ref="D138:J138"/>
    <mergeCell ref="D139:D140"/>
    <mergeCell ref="C112:C113"/>
    <mergeCell ref="E139:E140"/>
    <mergeCell ref="F139:H139"/>
    <mergeCell ref="K138:L138"/>
    <mergeCell ref="J171:J172"/>
    <mergeCell ref="K168:L168"/>
    <mergeCell ref="L141:L142"/>
    <mergeCell ref="M144:M145"/>
    <mergeCell ref="K158:L158"/>
    <mergeCell ref="M171:M172"/>
    <mergeCell ref="K161:K162"/>
    <mergeCell ref="L161:L162"/>
    <mergeCell ref="M161:M162"/>
    <mergeCell ref="M158:R158"/>
    <mergeCell ref="I139:J139"/>
    <mergeCell ref="M128:R128"/>
    <mergeCell ref="O107:O108"/>
    <mergeCell ref="P107:P108"/>
    <mergeCell ref="R107:R108"/>
    <mergeCell ref="K114:K115"/>
    <mergeCell ref="O117:O118"/>
    <mergeCell ref="Q117:Q118"/>
    <mergeCell ref="P117:P118"/>
    <mergeCell ref="O134:O135"/>
    <mergeCell ref="R144:R145"/>
    <mergeCell ref="N144:N145"/>
    <mergeCell ref="Q159:R159"/>
    <mergeCell ref="W159:X160"/>
    <mergeCell ref="AC161:AC162"/>
    <mergeCell ref="M117:M118"/>
    <mergeCell ref="N117:N118"/>
    <mergeCell ref="W162:X162"/>
    <mergeCell ref="S145:T145"/>
    <mergeCell ref="AB144:AB145"/>
    <mergeCell ref="AD144:AD145"/>
    <mergeCell ref="AD141:AD142"/>
    <mergeCell ref="AC144:AC145"/>
    <mergeCell ref="AC141:AC142"/>
    <mergeCell ref="N159:P159"/>
    <mergeCell ref="U145:V145"/>
    <mergeCell ref="S158:X158"/>
    <mergeCell ref="W142:X142"/>
    <mergeCell ref="O144:O145"/>
    <mergeCell ref="P144:P145"/>
    <mergeCell ref="N141:N142"/>
    <mergeCell ref="S142:T142"/>
    <mergeCell ref="U142:V142"/>
    <mergeCell ref="Q141:Q142"/>
    <mergeCell ref="R141:R142"/>
    <mergeCell ref="O141:O142"/>
    <mergeCell ref="P141:P142"/>
    <mergeCell ref="K171:K172"/>
    <mergeCell ref="O171:O172"/>
    <mergeCell ref="M168:R168"/>
    <mergeCell ref="Q164:Q165"/>
    <mergeCell ref="R164:R165"/>
    <mergeCell ref="N169:P169"/>
    <mergeCell ref="L171:L172"/>
    <mergeCell ref="R171:R172"/>
    <mergeCell ref="Q169:R169"/>
    <mergeCell ref="O164:O165"/>
    <mergeCell ref="W118:X118"/>
    <mergeCell ref="W139:X140"/>
    <mergeCell ref="S128:X128"/>
    <mergeCell ref="S129:T130"/>
    <mergeCell ref="U129:V130"/>
    <mergeCell ref="S138:X138"/>
    <mergeCell ref="W129:X130"/>
    <mergeCell ref="W135:X135"/>
    <mergeCell ref="AB141:AB142"/>
    <mergeCell ref="Q144:Q145"/>
    <mergeCell ref="M174:M175"/>
    <mergeCell ref="N174:N175"/>
    <mergeCell ref="Q171:Q172"/>
    <mergeCell ref="P171:P172"/>
    <mergeCell ref="N171:N172"/>
    <mergeCell ref="M164:M165"/>
    <mergeCell ref="N164:N165"/>
    <mergeCell ref="U159:V160"/>
    <mergeCell ref="W169:X170"/>
    <mergeCell ref="S172:T172"/>
    <mergeCell ref="U172:V172"/>
    <mergeCell ref="W172:X172"/>
    <mergeCell ref="S169:T170"/>
    <mergeCell ref="U169:V170"/>
    <mergeCell ref="S168:X168"/>
    <mergeCell ref="S159:T160"/>
    <mergeCell ref="S162:T162"/>
    <mergeCell ref="U162:V162"/>
    <mergeCell ref="W145:X145"/>
    <mergeCell ref="U139:V140"/>
    <mergeCell ref="S139:T140"/>
    <mergeCell ref="Q104:Q105"/>
    <mergeCell ref="M107:M108"/>
    <mergeCell ref="R104:R105"/>
    <mergeCell ref="M104:M105"/>
    <mergeCell ref="U85:V85"/>
    <mergeCell ref="W85:X85"/>
    <mergeCell ref="S88:T88"/>
    <mergeCell ref="U88:V88"/>
    <mergeCell ref="M87:M88"/>
    <mergeCell ref="N87:N88"/>
    <mergeCell ref="B3:E3"/>
    <mergeCell ref="K111:L111"/>
    <mergeCell ref="Q112:R112"/>
    <mergeCell ref="S85:T85"/>
    <mergeCell ref="S111:X111"/>
    <mergeCell ref="M114:M115"/>
    <mergeCell ref="N114:N115"/>
    <mergeCell ref="S105:T105"/>
    <mergeCell ref="M111:R111"/>
    <mergeCell ref="U105:V105"/>
    <mergeCell ref="J84:J85"/>
    <mergeCell ref="I112:J112"/>
    <mergeCell ref="B16:G16"/>
    <mergeCell ref="B18:E18"/>
    <mergeCell ref="C71:I71"/>
    <mergeCell ref="D112:D113"/>
    <mergeCell ref="E112:E113"/>
    <mergeCell ref="F112:H112"/>
    <mergeCell ref="J104:J105"/>
    <mergeCell ref="D102:D103"/>
    <mergeCell ref="K81:L81"/>
    <mergeCell ref="M81:R81"/>
    <mergeCell ref="K84:K85"/>
    <mergeCell ref="L84:L85"/>
    <mergeCell ref="R84:R85"/>
    <mergeCell ref="Q84:Q85"/>
    <mergeCell ref="Q82:R82"/>
    <mergeCell ref="P84:P85"/>
    <mergeCell ref="N107:N108"/>
    <mergeCell ref="M84:M85"/>
    <mergeCell ref="N84:N85"/>
    <mergeCell ref="O84:O85"/>
    <mergeCell ref="Q107:Q108"/>
    <mergeCell ref="Q87:Q88"/>
    <mergeCell ref="M101:R101"/>
    <mergeCell ref="N104:N105"/>
    <mergeCell ref="O104:O105"/>
    <mergeCell ref="P104:P105"/>
    <mergeCell ref="W72:X73"/>
    <mergeCell ref="S81:X81"/>
    <mergeCell ref="S82:T83"/>
    <mergeCell ref="U82:V83"/>
    <mergeCell ref="W82:X83"/>
    <mergeCell ref="Q72:R72"/>
    <mergeCell ref="S72:T73"/>
    <mergeCell ref="R74:R75"/>
    <mergeCell ref="F72:H72"/>
    <mergeCell ref="M71:R71"/>
    <mergeCell ref="S71:X71"/>
    <mergeCell ref="K71:L71"/>
    <mergeCell ref="O77:O78"/>
    <mergeCell ref="P77:P78"/>
    <mergeCell ref="N74:N75"/>
    <mergeCell ref="O74:O75"/>
    <mergeCell ref="P74:P75"/>
    <mergeCell ref="U72:V73"/>
    <mergeCell ref="AD74:AD75"/>
    <mergeCell ref="S75:T75"/>
    <mergeCell ref="U75:V75"/>
    <mergeCell ref="W75:X75"/>
    <mergeCell ref="AB74:AB75"/>
    <mergeCell ref="AC74:AC75"/>
    <mergeCell ref="AC77:AC78"/>
    <mergeCell ref="AD77:AD78"/>
    <mergeCell ref="S78:T78"/>
    <mergeCell ref="U78:V78"/>
    <mergeCell ref="W78:X78"/>
    <mergeCell ref="AB77:AB78"/>
    <mergeCell ref="AD107:AD108"/>
    <mergeCell ref="S108:T108"/>
    <mergeCell ref="U108:V108"/>
    <mergeCell ref="W108:X108"/>
    <mergeCell ref="AC107:AC108"/>
    <mergeCell ref="S112:T113"/>
    <mergeCell ref="AB107:AB108"/>
    <mergeCell ref="U112:V113"/>
    <mergeCell ref="W112:X113"/>
    <mergeCell ref="Q114:Q115"/>
    <mergeCell ref="N129:P129"/>
    <mergeCell ref="Q129:R129"/>
    <mergeCell ref="R117:R118"/>
    <mergeCell ref="W115:X115"/>
    <mergeCell ref="S118:T118"/>
    <mergeCell ref="P114:P115"/>
    <mergeCell ref="O114:O115"/>
    <mergeCell ref="R114:R115"/>
    <mergeCell ref="U118:V118"/>
    <mergeCell ref="U115:V115"/>
    <mergeCell ref="N139:P139"/>
    <mergeCell ref="Q139:R139"/>
    <mergeCell ref="M138:R138"/>
    <mergeCell ref="M131:M132"/>
    <mergeCell ref="N131:N132"/>
    <mergeCell ref="M134:M135"/>
    <mergeCell ref="N134:N135"/>
    <mergeCell ref="P134:P135"/>
    <mergeCell ref="S115:T115"/>
    <mergeCell ref="AD117:AD118"/>
    <mergeCell ref="D128:J128"/>
    <mergeCell ref="K128:L128"/>
    <mergeCell ref="AC114:AC115"/>
    <mergeCell ref="AB117:AB118"/>
    <mergeCell ref="AC117:AC118"/>
    <mergeCell ref="J114:J115"/>
    <mergeCell ref="L114:L115"/>
    <mergeCell ref="AB114:AB115"/>
    <mergeCell ref="AD114:AD115"/>
    <mergeCell ref="AB134:AB135"/>
    <mergeCell ref="AD131:AD132"/>
    <mergeCell ref="S132:T132"/>
    <mergeCell ref="U132:V132"/>
    <mergeCell ref="W132:X132"/>
    <mergeCell ref="AC131:AC132"/>
    <mergeCell ref="AB131:AB132"/>
    <mergeCell ref="J131:J132"/>
    <mergeCell ref="K131:K132"/>
    <mergeCell ref="AD134:AD135"/>
    <mergeCell ref="S135:T135"/>
    <mergeCell ref="AC134:AC135"/>
    <mergeCell ref="AC164:AC165"/>
    <mergeCell ref="S165:T165"/>
    <mergeCell ref="U165:V165"/>
    <mergeCell ref="W165:X165"/>
    <mergeCell ref="U135:V135"/>
    <mergeCell ref="AB164:AB165"/>
    <mergeCell ref="O161:O162"/>
    <mergeCell ref="D163:L163"/>
    <mergeCell ref="P164:P165"/>
    <mergeCell ref="N161:N162"/>
    <mergeCell ref="Q161:Q162"/>
    <mergeCell ref="P161:P162"/>
    <mergeCell ref="R161:R162"/>
    <mergeCell ref="Y72:Y73"/>
    <mergeCell ref="Y82:Y83"/>
    <mergeCell ref="Y102:Y103"/>
    <mergeCell ref="Q77:Q78"/>
    <mergeCell ref="R77:R78"/>
    <mergeCell ref="L131:L132"/>
    <mergeCell ref="Q131:Q132"/>
    <mergeCell ref="R131:R132"/>
    <mergeCell ref="O131:O132"/>
    <mergeCell ref="P131:P132"/>
    <mergeCell ref="L74:L75"/>
    <mergeCell ref="M74:M75"/>
    <mergeCell ref="Q74:Q75"/>
    <mergeCell ref="N77:N78"/>
    <mergeCell ref="J161:J162"/>
    <mergeCell ref="AB161:AB162"/>
    <mergeCell ref="Q134:Q135"/>
    <mergeCell ref="I129:J129"/>
    <mergeCell ref="R134:R135"/>
    <mergeCell ref="I159:J159"/>
    <mergeCell ref="I169:J169"/>
    <mergeCell ref="B4:E4"/>
    <mergeCell ref="C159:C160"/>
    <mergeCell ref="D159:D160"/>
    <mergeCell ref="E159:E160"/>
    <mergeCell ref="E72:E73"/>
    <mergeCell ref="E169:E170"/>
    <mergeCell ref="F169:H169"/>
    <mergeCell ref="I72:J72"/>
    <mergeCell ref="F129:H129"/>
    <mergeCell ref="C72:C73"/>
    <mergeCell ref="D72:D73"/>
    <mergeCell ref="F159:H159"/>
    <mergeCell ref="Y169:Y170"/>
    <mergeCell ref="Y112:Y113"/>
    <mergeCell ref="Y129:Y130"/>
    <mergeCell ref="Y139:Y140"/>
    <mergeCell ref="Y159:Y160"/>
    <mergeCell ref="D129:D130"/>
    <mergeCell ref="E129:E130"/>
    <mergeCell ref="B17:M17"/>
    <mergeCell ref="B15:K15"/>
    <mergeCell ref="D173:L173"/>
    <mergeCell ref="C168:J168"/>
    <mergeCell ref="C169:C170"/>
    <mergeCell ref="M77:M78"/>
    <mergeCell ref="J74:J75"/>
    <mergeCell ref="K74:K75"/>
    <mergeCell ref="C158:J158"/>
    <mergeCell ref="D169:D170"/>
  </mergeCells>
  <hyperlinks>
    <hyperlink ref="B15" location="'2 groups'!A44" display="1.  Combining Means and Other t-Distributed or Normally Distributed Statistics"/>
    <hyperlink ref="B16" r:id="rId1" display="2.  Combining Percent and Factor Outcomes"/>
    <hyperlink ref="B15:I15" location="_1" display="1.  Combining Means and Other t-Distributed or Normally Distributed Statistics"/>
    <hyperlink ref="B17" r:id="rId2" display="3.  Combining Relative Rates and Other Log-Normally Distributed Statistics"/>
    <hyperlink ref="B18:E18" location="_4" display="4.  Combining Correlations"/>
    <hyperlink ref="B16:G16" location="_2" display="2.  Combining Percent and Factor Outcomes"/>
    <hyperlink ref="B17:J17" location="_3" display="3.  Combining Relative Rates and Other Log-Normally Distributed Statistics"/>
  </hyperlinks>
  <printOptions/>
  <pageMargins left="0.75" right="0.75" top="1" bottom="1" header="0.5" footer="0.5"/>
  <pageSetup horizontalDpi="1200" verticalDpi="1200" orientation="portrait" paperSize="9" r:id="rId5"/>
  <legacyDrawing r:id="rId4"/>
</worksheet>
</file>

<file path=xl/worksheets/sheet2.xml><?xml version="1.0" encoding="utf-8"?>
<worksheet xmlns="http://schemas.openxmlformats.org/spreadsheetml/2006/main" xmlns:r="http://schemas.openxmlformats.org/officeDocument/2006/relationships">
  <dimension ref="A1:AI143"/>
  <sheetViews>
    <sheetView zoomScale="115" zoomScaleNormal="115" zoomScalePageLayoutView="0" workbookViewId="0" topLeftCell="A1">
      <selection activeCell="A1" sqref="A1"/>
    </sheetView>
  </sheetViews>
  <sheetFormatPr defaultColWidth="9.140625" defaultRowHeight="12.75"/>
  <cols>
    <col min="1" max="1" width="2.140625" style="0" customWidth="1"/>
    <col min="2" max="2" width="1.7109375" style="0" customWidth="1"/>
    <col min="3" max="3" width="8.421875" style="1" customWidth="1"/>
    <col min="4" max="4" width="7.8515625" style="1" customWidth="1"/>
    <col min="5" max="5" width="8.421875" style="1" customWidth="1"/>
    <col min="6" max="6" width="8.00390625" style="1" customWidth="1"/>
    <col min="7" max="7" width="6.7109375" style="1" customWidth="1"/>
    <col min="8" max="8" width="6.8515625" style="1" customWidth="1"/>
    <col min="9" max="9" width="7.421875" style="1" customWidth="1"/>
    <col min="10" max="10" width="7.8515625" style="1" customWidth="1"/>
    <col min="11" max="11" width="6.7109375" style="1" customWidth="1"/>
    <col min="12" max="13" width="9.57421875" style="1" customWidth="1"/>
    <col min="14" max="14" width="9.28125" style="1" customWidth="1"/>
    <col min="15" max="16" width="6.7109375" style="1" customWidth="1"/>
    <col min="17" max="17" width="6.7109375" style="2" customWidth="1"/>
    <col min="18" max="18" width="11.7109375" style="2" customWidth="1"/>
    <col min="19" max="19" width="10.7109375" style="2" customWidth="1"/>
    <col min="20" max="20" width="7.7109375" style="2" customWidth="1"/>
    <col min="21" max="25" width="7.7109375" style="1" customWidth="1"/>
    <col min="26" max="26" width="11.57421875" style="1" customWidth="1"/>
    <col min="28" max="28" width="9.421875" style="0" customWidth="1"/>
    <col min="30" max="31" width="11.00390625" style="0" customWidth="1"/>
    <col min="32" max="32" width="10.28125" style="0" customWidth="1"/>
    <col min="35" max="35" width="9.28125" style="0" customWidth="1"/>
  </cols>
  <sheetData>
    <row r="1" spans="17:18" s="1" customFormat="1" ht="9.75" customHeight="1" thickBot="1">
      <c r="Q1" s="2"/>
      <c r="R1" s="2"/>
    </row>
    <row r="2" spans="2:23" s="143" customFormat="1" ht="15.75" customHeight="1" thickBot="1">
      <c r="B2" s="160" t="s">
        <v>124</v>
      </c>
      <c r="C2" s="161"/>
      <c r="D2" s="161"/>
      <c r="E2" s="162"/>
      <c r="F2" s="162"/>
      <c r="G2" s="162"/>
      <c r="H2" s="162"/>
      <c r="I2" s="162"/>
      <c r="J2" s="162"/>
      <c r="K2" s="161"/>
      <c r="L2" s="161"/>
      <c r="M2" s="161"/>
      <c r="N2" s="161"/>
      <c r="O2" s="161"/>
      <c r="P2" s="161"/>
      <c r="Q2" s="161"/>
      <c r="R2" s="161"/>
      <c r="S2" s="161"/>
      <c r="T2" s="161"/>
      <c r="U2" s="161"/>
      <c r="V2" s="161"/>
      <c r="W2" s="163"/>
    </row>
    <row r="3" spans="2:23" s="144" customFormat="1" ht="5.25" customHeight="1">
      <c r="B3" s="149"/>
      <c r="E3" s="145"/>
      <c r="F3" s="145"/>
      <c r="G3" s="145"/>
      <c r="H3" s="145"/>
      <c r="I3" s="145"/>
      <c r="J3" s="145"/>
      <c r="W3" s="150"/>
    </row>
    <row r="4" spans="2:23" s="144" customFormat="1" ht="12" customHeight="1">
      <c r="B4" s="141" t="s">
        <v>131</v>
      </c>
      <c r="E4" s="177"/>
      <c r="F4" s="177"/>
      <c r="G4" s="177"/>
      <c r="H4" s="177"/>
      <c r="I4" s="177"/>
      <c r="J4" s="177"/>
      <c r="W4" s="150"/>
    </row>
    <row r="5" spans="2:23" s="144" customFormat="1" ht="9" customHeight="1" thickBot="1">
      <c r="B5" s="178"/>
      <c r="C5" s="179"/>
      <c r="D5" s="179"/>
      <c r="E5" s="180"/>
      <c r="F5" s="180"/>
      <c r="G5" s="180"/>
      <c r="H5" s="180"/>
      <c r="I5" s="180"/>
      <c r="J5" s="180"/>
      <c r="K5" s="179"/>
      <c r="L5" s="179"/>
      <c r="M5" s="179"/>
      <c r="N5" s="179"/>
      <c r="O5" s="179"/>
      <c r="P5" s="179"/>
      <c r="Q5" s="179"/>
      <c r="R5" s="179"/>
      <c r="S5" s="179"/>
      <c r="T5" s="179"/>
      <c r="U5" s="179"/>
      <c r="V5" s="179"/>
      <c r="W5" s="181"/>
    </row>
    <row r="6" spans="1:23" s="1" customFormat="1" ht="12.75" customHeight="1">
      <c r="A6" s="2"/>
      <c r="B6" s="142" t="s">
        <v>79</v>
      </c>
      <c r="C6" s="174"/>
      <c r="D6" s="174"/>
      <c r="E6" s="174"/>
      <c r="F6" s="174"/>
      <c r="G6" s="174"/>
      <c r="H6" s="174"/>
      <c r="I6" s="174"/>
      <c r="J6" s="174"/>
      <c r="K6" s="174"/>
      <c r="L6" s="174"/>
      <c r="M6" s="174"/>
      <c r="N6" s="174"/>
      <c r="O6" s="174"/>
      <c r="P6" s="174"/>
      <c r="Q6" s="174"/>
      <c r="R6" s="174"/>
      <c r="S6" s="174"/>
      <c r="T6" s="174"/>
      <c r="U6" s="174"/>
      <c r="V6" s="174"/>
      <c r="W6" s="175"/>
    </row>
    <row r="7" spans="2:32" s="1" customFormat="1" ht="12" customHeight="1">
      <c r="B7" s="141" t="s">
        <v>275</v>
      </c>
      <c r="C7" s="2"/>
      <c r="D7" s="12"/>
      <c r="E7" s="2"/>
      <c r="F7" s="2"/>
      <c r="G7" s="2"/>
      <c r="H7" s="2"/>
      <c r="I7" s="2"/>
      <c r="J7" s="2"/>
      <c r="K7" s="2"/>
      <c r="L7" s="2"/>
      <c r="M7" s="2"/>
      <c r="N7" s="2"/>
      <c r="O7" s="2"/>
      <c r="P7" s="2"/>
      <c r="Q7" s="2"/>
      <c r="R7" s="2"/>
      <c r="S7" s="2"/>
      <c r="T7" s="2"/>
      <c r="U7" s="2"/>
      <c r="V7" s="2"/>
      <c r="W7" s="43"/>
      <c r="AB7"/>
      <c r="AC7"/>
      <c r="AD7"/>
      <c r="AE7"/>
      <c r="AF7"/>
    </row>
    <row r="8" spans="2:32" s="1" customFormat="1" ht="12" customHeight="1">
      <c r="B8" s="141" t="s">
        <v>292</v>
      </c>
      <c r="C8" s="2"/>
      <c r="D8" s="12"/>
      <c r="E8" s="2"/>
      <c r="F8" s="2"/>
      <c r="G8" s="2"/>
      <c r="H8" s="2"/>
      <c r="I8" s="2"/>
      <c r="J8" s="2"/>
      <c r="K8" s="2"/>
      <c r="L8" s="2"/>
      <c r="M8" s="2"/>
      <c r="N8" s="2"/>
      <c r="O8" s="2"/>
      <c r="P8" s="2"/>
      <c r="Q8" s="2"/>
      <c r="R8" s="2"/>
      <c r="S8" s="2"/>
      <c r="T8" s="2"/>
      <c r="U8" s="2"/>
      <c r="V8" s="2"/>
      <c r="W8" s="43"/>
      <c r="AB8"/>
      <c r="AC8"/>
      <c r="AD8"/>
      <c r="AE8"/>
      <c r="AF8"/>
    </row>
    <row r="9" spans="2:32" s="1" customFormat="1" ht="12" customHeight="1">
      <c r="B9" s="141" t="s">
        <v>114</v>
      </c>
      <c r="C9" s="2"/>
      <c r="D9" s="12"/>
      <c r="E9" s="2"/>
      <c r="F9" s="2"/>
      <c r="G9" s="2"/>
      <c r="H9" s="2"/>
      <c r="I9" s="2"/>
      <c r="J9" s="2"/>
      <c r="K9" s="2"/>
      <c r="L9" s="2"/>
      <c r="M9" s="2"/>
      <c r="N9" s="2"/>
      <c r="O9" s="2"/>
      <c r="P9" s="2"/>
      <c r="Q9" s="2"/>
      <c r="R9" s="2"/>
      <c r="S9" s="2"/>
      <c r="T9" s="2"/>
      <c r="U9" s="2"/>
      <c r="V9" s="2"/>
      <c r="W9" s="43"/>
      <c r="AB9"/>
      <c r="AC9"/>
      <c r="AD9"/>
      <c r="AE9"/>
      <c r="AF9"/>
    </row>
    <row r="10" spans="2:32" s="1" customFormat="1" ht="12" customHeight="1">
      <c r="B10" s="141" t="s">
        <v>115</v>
      </c>
      <c r="C10" s="2"/>
      <c r="D10" s="12"/>
      <c r="E10" s="2"/>
      <c r="F10" s="2"/>
      <c r="G10" s="2"/>
      <c r="H10" s="2"/>
      <c r="I10" s="2"/>
      <c r="J10" s="2"/>
      <c r="K10" s="2"/>
      <c r="L10" s="2"/>
      <c r="M10" s="2"/>
      <c r="N10" s="2"/>
      <c r="O10" s="2"/>
      <c r="P10" s="2"/>
      <c r="Q10" s="2"/>
      <c r="R10" s="2"/>
      <c r="S10" s="2"/>
      <c r="T10" s="2"/>
      <c r="U10" s="2"/>
      <c r="V10" s="2"/>
      <c r="W10" s="43"/>
      <c r="AB10"/>
      <c r="AC10"/>
      <c r="AD10"/>
      <c r="AE10"/>
      <c r="AF10"/>
    </row>
    <row r="11" spans="2:32" s="1" customFormat="1" ht="12" customHeight="1">
      <c r="B11" s="141" t="s">
        <v>294</v>
      </c>
      <c r="C11" s="2"/>
      <c r="D11" s="12"/>
      <c r="E11" s="2"/>
      <c r="F11" s="2"/>
      <c r="G11" s="2"/>
      <c r="H11" s="2"/>
      <c r="I11" s="2"/>
      <c r="J11" s="2"/>
      <c r="K11" s="2"/>
      <c r="L11" s="2"/>
      <c r="M11" s="2"/>
      <c r="N11" s="2"/>
      <c r="O11" s="2"/>
      <c r="P11" s="2"/>
      <c r="Q11" s="2"/>
      <c r="R11" s="2"/>
      <c r="S11" s="2"/>
      <c r="T11" s="2"/>
      <c r="U11" s="2"/>
      <c r="V11" s="2"/>
      <c r="W11" s="43"/>
      <c r="AB11"/>
      <c r="AC11"/>
      <c r="AD11"/>
      <c r="AE11"/>
      <c r="AF11"/>
    </row>
    <row r="12" spans="2:32" s="1" customFormat="1" ht="12" customHeight="1">
      <c r="B12" s="141" t="s">
        <v>116</v>
      </c>
      <c r="C12" s="2"/>
      <c r="D12" s="12"/>
      <c r="E12" s="2"/>
      <c r="F12" s="2"/>
      <c r="G12" s="2"/>
      <c r="H12" s="2"/>
      <c r="I12" s="2"/>
      <c r="J12" s="2"/>
      <c r="K12" s="2"/>
      <c r="L12" s="2"/>
      <c r="M12" s="2"/>
      <c r="N12" s="2"/>
      <c r="O12" s="2"/>
      <c r="P12" s="2"/>
      <c r="Q12" s="2"/>
      <c r="R12" s="2"/>
      <c r="S12" s="2"/>
      <c r="T12" s="2"/>
      <c r="U12" s="2"/>
      <c r="V12" s="2"/>
      <c r="W12" s="43"/>
      <c r="AB12"/>
      <c r="AC12"/>
      <c r="AD12"/>
      <c r="AE12"/>
      <c r="AF12"/>
    </row>
    <row r="13" spans="2:32" s="1" customFormat="1" ht="12" customHeight="1">
      <c r="B13" s="141" t="s">
        <v>117</v>
      </c>
      <c r="C13" s="2"/>
      <c r="D13" s="12"/>
      <c r="E13" s="2"/>
      <c r="F13" s="2"/>
      <c r="G13" s="2"/>
      <c r="H13" s="2"/>
      <c r="I13" s="2"/>
      <c r="J13" s="2"/>
      <c r="K13" s="2"/>
      <c r="L13" s="2"/>
      <c r="M13" s="2"/>
      <c r="N13" s="2"/>
      <c r="O13" s="2"/>
      <c r="P13" s="2"/>
      <c r="Q13" s="2"/>
      <c r="R13" s="2"/>
      <c r="S13" s="2"/>
      <c r="T13" s="2"/>
      <c r="U13" s="2"/>
      <c r="V13" s="2"/>
      <c r="W13" s="43"/>
      <c r="AB13"/>
      <c r="AC13"/>
      <c r="AD13"/>
      <c r="AE13"/>
      <c r="AF13"/>
    </row>
    <row r="14" spans="1:27" ht="12.75" customHeight="1">
      <c r="A14" s="21"/>
      <c r="B14" s="153" t="s">
        <v>80</v>
      </c>
      <c r="C14" s="2"/>
      <c r="D14" s="2"/>
      <c r="E14" s="2"/>
      <c r="F14" s="2"/>
      <c r="G14" s="2"/>
      <c r="H14" s="2"/>
      <c r="I14" s="2"/>
      <c r="J14" s="2"/>
      <c r="K14" s="2"/>
      <c r="L14" s="2"/>
      <c r="M14" s="2"/>
      <c r="N14" s="2"/>
      <c r="O14" s="2"/>
      <c r="P14" s="2"/>
      <c r="U14" s="2"/>
      <c r="V14" s="2"/>
      <c r="W14" s="43"/>
      <c r="Z14"/>
      <c r="AA14" s="29"/>
    </row>
    <row r="15" spans="1:27" ht="12.75" customHeight="1">
      <c r="A15" s="21"/>
      <c r="B15" s="442" t="s">
        <v>254</v>
      </c>
      <c r="C15" s="443"/>
      <c r="D15" s="443"/>
      <c r="E15" s="443"/>
      <c r="F15" s="443"/>
      <c r="G15" s="443"/>
      <c r="H15" s="443"/>
      <c r="I15" s="443"/>
      <c r="J15" s="443"/>
      <c r="K15" s="443"/>
      <c r="L15" s="443"/>
      <c r="M15" s="443"/>
      <c r="N15" s="443"/>
      <c r="O15" s="2"/>
      <c r="P15" s="2"/>
      <c r="U15" s="2"/>
      <c r="V15" s="2"/>
      <c r="W15" s="43"/>
      <c r="Z15"/>
      <c r="AA15" s="29"/>
    </row>
    <row r="16" spans="1:27" ht="12.75" customHeight="1">
      <c r="A16" s="21"/>
      <c r="B16" s="442" t="s">
        <v>256</v>
      </c>
      <c r="C16" s="443"/>
      <c r="D16" s="443"/>
      <c r="E16" s="443"/>
      <c r="F16" s="443"/>
      <c r="G16" s="443"/>
      <c r="H16" s="443"/>
      <c r="I16" s="443"/>
      <c r="J16" s="443"/>
      <c r="K16" s="443"/>
      <c r="L16" s="2"/>
      <c r="M16" s="2"/>
      <c r="N16" s="2"/>
      <c r="O16" s="2"/>
      <c r="P16" s="2"/>
      <c r="R16" s="426"/>
      <c r="U16" s="2"/>
      <c r="V16" s="2"/>
      <c r="W16" s="43"/>
      <c r="Z16"/>
      <c r="AA16" s="29"/>
    </row>
    <row r="17" spans="1:27" ht="12.75" customHeight="1">
      <c r="A17" s="21"/>
      <c r="B17" s="442" t="s">
        <v>128</v>
      </c>
      <c r="C17" s="443"/>
      <c r="D17" s="443"/>
      <c r="E17" s="443"/>
      <c r="F17" s="443"/>
      <c r="G17" s="443"/>
      <c r="H17" s="443"/>
      <c r="I17" s="443"/>
      <c r="J17" s="443"/>
      <c r="K17" s="443"/>
      <c r="L17" s="443"/>
      <c r="M17" s="443"/>
      <c r="N17" s="443"/>
      <c r="O17" s="2"/>
      <c r="P17" s="2"/>
      <c r="U17" s="2"/>
      <c r="V17" s="2"/>
      <c r="W17" s="43"/>
      <c r="Z17"/>
      <c r="AA17" s="29"/>
    </row>
    <row r="18" spans="1:27" ht="12.75" customHeight="1">
      <c r="A18" s="21"/>
      <c r="B18" s="522" t="s">
        <v>25</v>
      </c>
      <c r="C18" s="523"/>
      <c r="D18" s="523"/>
      <c r="E18" s="523"/>
      <c r="F18" s="158"/>
      <c r="G18" s="158"/>
      <c r="H18" s="158"/>
      <c r="I18" s="158"/>
      <c r="J18" s="2"/>
      <c r="K18" s="2"/>
      <c r="L18" s="2"/>
      <c r="M18" s="2"/>
      <c r="N18" s="2"/>
      <c r="O18" s="2"/>
      <c r="P18" s="2"/>
      <c r="U18" s="2"/>
      <c r="V18" s="2"/>
      <c r="W18" s="43"/>
      <c r="Z18"/>
      <c r="AA18" s="29"/>
    </row>
    <row r="19" spans="2:32" s="1" customFormat="1" ht="12.75" customHeight="1">
      <c r="B19" s="141" t="s">
        <v>118</v>
      </c>
      <c r="C19" s="2"/>
      <c r="D19" s="2"/>
      <c r="E19" s="2"/>
      <c r="F19" s="2"/>
      <c r="G19" s="2"/>
      <c r="H19" s="2"/>
      <c r="I19" s="2"/>
      <c r="J19" s="2"/>
      <c r="K19" s="2"/>
      <c r="L19" s="2"/>
      <c r="M19" s="2"/>
      <c r="N19" s="2"/>
      <c r="O19" s="2"/>
      <c r="P19" s="2"/>
      <c r="Q19" s="2"/>
      <c r="R19" s="2"/>
      <c r="S19" s="2"/>
      <c r="T19" s="2"/>
      <c r="U19" s="2"/>
      <c r="V19" s="2"/>
      <c r="W19" s="43"/>
      <c r="AB19"/>
      <c r="AC19"/>
      <c r="AD19"/>
      <c r="AE19"/>
      <c r="AF19"/>
    </row>
    <row r="20" spans="2:23" ht="12.75" customHeight="1">
      <c r="B20" s="203" t="s">
        <v>130</v>
      </c>
      <c r="C20" s="2"/>
      <c r="D20" s="2"/>
      <c r="E20" s="2"/>
      <c r="F20" s="2"/>
      <c r="G20" s="2"/>
      <c r="H20" s="2"/>
      <c r="I20" s="2"/>
      <c r="J20" s="2"/>
      <c r="K20" s="2"/>
      <c r="L20" s="2"/>
      <c r="M20" s="2"/>
      <c r="N20" s="2"/>
      <c r="O20" s="2"/>
      <c r="P20" s="2"/>
      <c r="U20" s="2"/>
      <c r="V20" s="2"/>
      <c r="W20" s="43"/>
    </row>
    <row r="21" spans="2:32" s="1" customFormat="1" ht="12.75" customHeight="1">
      <c r="B21" s="189" t="s">
        <v>134</v>
      </c>
      <c r="C21" s="2"/>
      <c r="D21" s="2"/>
      <c r="E21" s="2"/>
      <c r="F21" s="2"/>
      <c r="G21" s="2"/>
      <c r="H21" s="2"/>
      <c r="I21" s="2"/>
      <c r="J21" s="2"/>
      <c r="K21" s="2"/>
      <c r="L21" s="2"/>
      <c r="M21" s="2"/>
      <c r="N21" s="2"/>
      <c r="O21" s="2"/>
      <c r="P21" s="2"/>
      <c r="Q21" s="2"/>
      <c r="R21" s="2"/>
      <c r="S21" s="2"/>
      <c r="T21" s="2"/>
      <c r="U21" s="2"/>
      <c r="V21" s="2"/>
      <c r="W21" s="43"/>
      <c r="AB21"/>
      <c r="AC21"/>
      <c r="AD21"/>
      <c r="AE21"/>
      <c r="AF21"/>
    </row>
    <row r="22" spans="2:32" s="1" customFormat="1" ht="12.75" customHeight="1">
      <c r="B22" s="141"/>
      <c r="C22" s="2" t="s">
        <v>91</v>
      </c>
      <c r="D22" s="2"/>
      <c r="E22" s="2"/>
      <c r="F22" s="2"/>
      <c r="G22" s="2"/>
      <c r="H22" s="2"/>
      <c r="I22" s="2"/>
      <c r="J22" s="2"/>
      <c r="K22" s="2"/>
      <c r="L22" s="2"/>
      <c r="M22" s="2"/>
      <c r="N22" s="2"/>
      <c r="O22" s="2"/>
      <c r="P22" s="2"/>
      <c r="Q22" s="2"/>
      <c r="R22" s="2"/>
      <c r="S22" s="2"/>
      <c r="T22" s="2"/>
      <c r="U22" s="2"/>
      <c r="V22" s="2"/>
      <c r="W22" s="43"/>
      <c r="AB22"/>
      <c r="AC22"/>
      <c r="AD22"/>
      <c r="AE22"/>
      <c r="AF22"/>
    </row>
    <row r="23" spans="2:23" ht="12.75" customHeight="1">
      <c r="B23" s="42"/>
      <c r="C23" s="2" t="s">
        <v>86</v>
      </c>
      <c r="D23" s="2"/>
      <c r="E23" s="2"/>
      <c r="F23" s="2"/>
      <c r="G23" s="2"/>
      <c r="H23" s="2"/>
      <c r="I23" s="2"/>
      <c r="J23" s="2"/>
      <c r="K23" s="2"/>
      <c r="L23" s="2"/>
      <c r="M23" s="2"/>
      <c r="N23" s="2"/>
      <c r="O23" s="2"/>
      <c r="P23" s="2"/>
      <c r="U23" s="2"/>
      <c r="V23" s="2"/>
      <c r="W23" s="43"/>
    </row>
    <row r="24" spans="2:23" ht="12.75" customHeight="1">
      <c r="B24" s="42"/>
      <c r="C24" s="2" t="s">
        <v>87</v>
      </c>
      <c r="D24" s="2"/>
      <c r="E24" s="2"/>
      <c r="F24" s="2"/>
      <c r="G24" s="2"/>
      <c r="H24" s="2"/>
      <c r="I24" s="2"/>
      <c r="J24" s="2"/>
      <c r="K24" s="2"/>
      <c r="L24" s="2"/>
      <c r="M24" s="2"/>
      <c r="N24" s="2"/>
      <c r="O24" s="2"/>
      <c r="P24" s="2"/>
      <c r="U24" s="2"/>
      <c r="V24" s="2"/>
      <c r="W24" s="43"/>
    </row>
    <row r="25" spans="2:23" ht="12.75" customHeight="1">
      <c r="B25" s="42"/>
      <c r="C25" s="2" t="s">
        <v>90</v>
      </c>
      <c r="D25" s="2"/>
      <c r="E25" s="2"/>
      <c r="F25" s="2"/>
      <c r="G25" s="2"/>
      <c r="H25" s="2"/>
      <c r="I25" s="2"/>
      <c r="J25" s="2"/>
      <c r="K25" s="2"/>
      <c r="L25" s="2"/>
      <c r="M25" s="2"/>
      <c r="N25" s="2"/>
      <c r="O25" s="2"/>
      <c r="P25" s="2"/>
      <c r="U25" s="2"/>
      <c r="V25" s="2"/>
      <c r="W25" s="43"/>
    </row>
    <row r="26" spans="2:23" ht="12.75" customHeight="1">
      <c r="B26" s="42"/>
      <c r="C26" s="2" t="s">
        <v>88</v>
      </c>
      <c r="D26" s="2"/>
      <c r="E26" s="2"/>
      <c r="F26" s="2"/>
      <c r="G26" s="2"/>
      <c r="H26" s="2"/>
      <c r="I26" s="2"/>
      <c r="J26" s="2"/>
      <c r="K26" s="2"/>
      <c r="L26" s="2"/>
      <c r="M26" s="2"/>
      <c r="N26" s="2"/>
      <c r="O26" s="2"/>
      <c r="P26" s="2"/>
      <c r="U26" s="2"/>
      <c r="V26" s="2"/>
      <c r="W26" s="43"/>
    </row>
    <row r="27" spans="2:23" ht="12.75" customHeight="1">
      <c r="B27" s="42"/>
      <c r="C27" s="41" t="s">
        <v>190</v>
      </c>
      <c r="D27" s="2"/>
      <c r="E27" s="2"/>
      <c r="F27" s="2"/>
      <c r="G27" s="2"/>
      <c r="H27" s="2"/>
      <c r="I27" s="2"/>
      <c r="J27" s="2"/>
      <c r="K27" s="2"/>
      <c r="L27" s="2"/>
      <c r="M27" s="2"/>
      <c r="N27" s="2"/>
      <c r="O27" s="2"/>
      <c r="P27" s="2"/>
      <c r="U27" s="2"/>
      <c r="V27" s="2"/>
      <c r="W27" s="43"/>
    </row>
    <row r="28" spans="2:32" s="1" customFormat="1" ht="12" customHeight="1">
      <c r="B28" s="141"/>
      <c r="C28" s="2" t="s">
        <v>293</v>
      </c>
      <c r="D28" s="12"/>
      <c r="E28" s="2"/>
      <c r="F28" s="2"/>
      <c r="G28" s="2"/>
      <c r="H28" s="2"/>
      <c r="I28" s="2"/>
      <c r="J28" s="2"/>
      <c r="K28" s="2"/>
      <c r="L28" s="2"/>
      <c r="M28" s="2"/>
      <c r="N28" s="2"/>
      <c r="O28" s="2"/>
      <c r="P28" s="2"/>
      <c r="Q28" s="2"/>
      <c r="R28" s="2"/>
      <c r="S28" s="2"/>
      <c r="T28" s="2"/>
      <c r="U28" s="2"/>
      <c r="V28" s="2"/>
      <c r="W28" s="43"/>
      <c r="AB28"/>
      <c r="AC28"/>
      <c r="AD28"/>
      <c r="AE28"/>
      <c r="AF28"/>
    </row>
    <row r="29" spans="2:23" ht="12.75" customHeight="1">
      <c r="B29" s="42"/>
      <c r="C29" s="2" t="s">
        <v>89</v>
      </c>
      <c r="D29" s="2"/>
      <c r="E29" s="2"/>
      <c r="F29" s="2"/>
      <c r="G29" s="2"/>
      <c r="H29" s="2"/>
      <c r="I29" s="2"/>
      <c r="J29" s="2"/>
      <c r="K29" s="2"/>
      <c r="L29" s="2"/>
      <c r="M29" s="2"/>
      <c r="N29" s="2"/>
      <c r="O29" s="2"/>
      <c r="P29" s="2"/>
      <c r="U29" s="2"/>
      <c r="V29" s="2"/>
      <c r="W29" s="43"/>
    </row>
    <row r="30" spans="2:23" ht="12.75" customHeight="1">
      <c r="B30" s="153" t="s">
        <v>92</v>
      </c>
      <c r="C30" s="2"/>
      <c r="D30" s="148"/>
      <c r="E30" s="2"/>
      <c r="F30" s="2"/>
      <c r="G30" s="2"/>
      <c r="H30" s="2"/>
      <c r="I30" s="2"/>
      <c r="J30" s="2"/>
      <c r="K30" s="2"/>
      <c r="L30" s="2"/>
      <c r="M30" s="2"/>
      <c r="N30" s="2"/>
      <c r="O30" s="2"/>
      <c r="P30" s="2"/>
      <c r="U30" s="2"/>
      <c r="V30" s="2"/>
      <c r="W30" s="43"/>
    </row>
    <row r="31" spans="2:23" ht="12.75" customHeight="1">
      <c r="B31" s="42"/>
      <c r="C31" s="148" t="s">
        <v>93</v>
      </c>
      <c r="D31" s="148"/>
      <c r="E31" s="2"/>
      <c r="F31" s="2"/>
      <c r="G31" s="2"/>
      <c r="H31" s="2"/>
      <c r="I31" s="2"/>
      <c r="J31" s="2"/>
      <c r="K31" s="2"/>
      <c r="L31" s="2"/>
      <c r="M31" s="2"/>
      <c r="N31" s="2"/>
      <c r="O31" s="2"/>
      <c r="P31" s="2"/>
      <c r="U31" s="2"/>
      <c r="V31" s="2"/>
      <c r="W31" s="43"/>
    </row>
    <row r="32" spans="2:23" ht="12.75" customHeight="1">
      <c r="B32" s="42"/>
      <c r="C32" s="148" t="s">
        <v>94</v>
      </c>
      <c r="D32" s="2"/>
      <c r="E32" s="2"/>
      <c r="F32" s="2"/>
      <c r="G32" s="2"/>
      <c r="H32" s="2"/>
      <c r="I32" s="2"/>
      <c r="J32" s="2"/>
      <c r="K32" s="2"/>
      <c r="L32" s="2"/>
      <c r="M32" s="2"/>
      <c r="N32" s="2"/>
      <c r="O32" s="2"/>
      <c r="P32" s="2"/>
      <c r="U32" s="2"/>
      <c r="V32" s="2"/>
      <c r="W32" s="43"/>
    </row>
    <row r="33" spans="2:23" ht="12.75" customHeight="1">
      <c r="B33" s="190" t="s">
        <v>95</v>
      </c>
      <c r="C33" s="2"/>
      <c r="D33" s="2"/>
      <c r="E33" s="2"/>
      <c r="F33" s="2"/>
      <c r="G33" s="2"/>
      <c r="H33" s="2"/>
      <c r="I33" s="2"/>
      <c r="J33" s="2"/>
      <c r="K33" s="2"/>
      <c r="L33" s="2"/>
      <c r="M33" s="2"/>
      <c r="N33" s="2"/>
      <c r="O33" s="2"/>
      <c r="P33" s="2"/>
      <c r="U33" s="2"/>
      <c r="V33" s="2"/>
      <c r="W33" s="43"/>
    </row>
    <row r="34" spans="1:27" ht="12.75" customHeight="1">
      <c r="A34" s="21"/>
      <c r="B34" s="198" t="s">
        <v>186</v>
      </c>
      <c r="C34" s="2"/>
      <c r="D34" s="2"/>
      <c r="E34" s="2"/>
      <c r="F34" s="2"/>
      <c r="G34" s="2"/>
      <c r="H34" s="2"/>
      <c r="I34" s="2"/>
      <c r="J34" s="2"/>
      <c r="K34" s="2"/>
      <c r="L34" s="2"/>
      <c r="M34" s="2"/>
      <c r="N34" s="2"/>
      <c r="O34" s="2"/>
      <c r="P34" s="2"/>
      <c r="U34" s="2"/>
      <c r="V34" s="2"/>
      <c r="W34" s="43"/>
      <c r="Z34"/>
      <c r="AA34" s="29"/>
    </row>
    <row r="35" spans="1:23" s="1" customFormat="1" ht="12.75" customHeight="1">
      <c r="A35" s="2"/>
      <c r="B35" s="141" t="s">
        <v>152</v>
      </c>
      <c r="C35" s="2"/>
      <c r="D35" s="2"/>
      <c r="E35" s="2"/>
      <c r="F35" s="2"/>
      <c r="G35" s="2"/>
      <c r="H35" s="2"/>
      <c r="I35" s="2"/>
      <c r="J35" s="2"/>
      <c r="K35" s="2"/>
      <c r="L35" s="2"/>
      <c r="M35" s="2"/>
      <c r="N35" s="2"/>
      <c r="O35" s="2"/>
      <c r="P35" s="2"/>
      <c r="Q35" s="2"/>
      <c r="R35" s="2"/>
      <c r="S35" s="2"/>
      <c r="T35" s="2"/>
      <c r="U35" s="2"/>
      <c r="V35" s="2"/>
      <c r="W35" s="43"/>
    </row>
    <row r="36" spans="2:23" ht="6" customHeight="1">
      <c r="B36" s="42"/>
      <c r="C36" s="159"/>
      <c r="D36" s="2"/>
      <c r="E36" s="2"/>
      <c r="F36" s="2"/>
      <c r="G36" s="2"/>
      <c r="H36" s="2"/>
      <c r="I36" s="2"/>
      <c r="J36" s="2"/>
      <c r="K36" s="2"/>
      <c r="L36" s="2"/>
      <c r="M36" s="2"/>
      <c r="N36" s="2"/>
      <c r="O36" s="2"/>
      <c r="P36" s="2"/>
      <c r="U36" s="2"/>
      <c r="V36" s="2"/>
      <c r="W36" s="43"/>
    </row>
    <row r="37" spans="2:28" ht="27.75" customHeight="1">
      <c r="B37" s="42"/>
      <c r="C37" s="77">
        <v>0</v>
      </c>
      <c r="D37" s="130" t="s">
        <v>56</v>
      </c>
      <c r="E37" s="79">
        <v>0.5</v>
      </c>
      <c r="F37" s="130" t="s">
        <v>57</v>
      </c>
      <c r="G37" s="79">
        <v>5</v>
      </c>
      <c r="H37" s="130" t="s">
        <v>58</v>
      </c>
      <c r="I37" s="79">
        <v>25</v>
      </c>
      <c r="J37" s="78" t="s">
        <v>59</v>
      </c>
      <c r="K37" s="80">
        <f>100-I37</f>
        <v>75</v>
      </c>
      <c r="L37" s="130" t="s">
        <v>60</v>
      </c>
      <c r="M37" s="80">
        <f>100-G37</f>
        <v>95</v>
      </c>
      <c r="N37" s="130" t="s">
        <v>61</v>
      </c>
      <c r="O37" s="80">
        <f>100-E37</f>
        <v>99.5</v>
      </c>
      <c r="P37" s="130" t="s">
        <v>62</v>
      </c>
      <c r="Q37" s="81">
        <v>100</v>
      </c>
      <c r="U37" s="2"/>
      <c r="V37" s="2"/>
      <c r="W37" s="43"/>
      <c r="AB37" s="1"/>
    </row>
    <row r="38" spans="2:28" ht="6" customHeight="1">
      <c r="B38" s="42"/>
      <c r="C38" s="131"/>
      <c r="D38" s="184"/>
      <c r="E38" s="132"/>
      <c r="F38" s="184"/>
      <c r="G38" s="132"/>
      <c r="H38" s="184"/>
      <c r="I38" s="132"/>
      <c r="J38" s="131"/>
      <c r="K38" s="133"/>
      <c r="L38" s="184"/>
      <c r="M38" s="133"/>
      <c r="N38" s="184"/>
      <c r="O38" s="133"/>
      <c r="P38" s="184"/>
      <c r="Q38" s="131"/>
      <c r="U38" s="2"/>
      <c r="V38" s="2"/>
      <c r="W38" s="43"/>
      <c r="AB38" s="1"/>
    </row>
    <row r="39" spans="2:28" ht="12" customHeight="1">
      <c r="B39" s="42" t="s">
        <v>187</v>
      </c>
      <c r="C39" s="131"/>
      <c r="D39" s="184"/>
      <c r="E39" s="132"/>
      <c r="F39" s="184"/>
      <c r="G39" s="132"/>
      <c r="H39" s="184"/>
      <c r="I39" s="132"/>
      <c r="J39" s="131"/>
      <c r="K39" s="133"/>
      <c r="L39" s="184"/>
      <c r="M39" s="133"/>
      <c r="N39" s="184"/>
      <c r="O39" s="133"/>
      <c r="P39" s="184"/>
      <c r="Q39" s="131"/>
      <c r="U39" s="2"/>
      <c r="V39" s="2"/>
      <c r="W39" s="43"/>
      <c r="AB39" s="1"/>
    </row>
    <row r="40" spans="2:23" ht="7.5" customHeight="1" thickBot="1">
      <c r="B40" s="157"/>
      <c r="C40" s="146"/>
      <c r="D40" s="146"/>
      <c r="E40" s="146"/>
      <c r="F40" s="146"/>
      <c r="G40" s="146"/>
      <c r="H40" s="146"/>
      <c r="I40" s="146"/>
      <c r="J40" s="146"/>
      <c r="K40" s="146"/>
      <c r="L40" s="146"/>
      <c r="M40" s="146"/>
      <c r="N40" s="146"/>
      <c r="O40" s="146"/>
      <c r="P40" s="146"/>
      <c r="Q40" s="146"/>
      <c r="R40" s="146"/>
      <c r="S40" s="146"/>
      <c r="T40" s="146"/>
      <c r="U40" s="146"/>
      <c r="V40" s="146"/>
      <c r="W40" s="156"/>
    </row>
    <row r="41" ht="12.75" customHeight="1" thickBot="1">
      <c r="C41" s="146"/>
    </row>
    <row r="42" spans="1:26" s="21" customFormat="1" ht="15.75" customHeight="1">
      <c r="A42" s="125"/>
      <c r="B42" s="171" t="s">
        <v>254</v>
      </c>
      <c r="C42" s="168"/>
      <c r="D42" s="164"/>
      <c r="E42" s="166"/>
      <c r="F42" s="166"/>
      <c r="G42" s="166"/>
      <c r="H42" s="166"/>
      <c r="I42" s="166"/>
      <c r="J42" s="166"/>
      <c r="K42" s="166"/>
      <c r="L42" s="166"/>
      <c r="M42" s="166"/>
      <c r="N42" s="166"/>
      <c r="O42" s="166"/>
      <c r="P42" s="166"/>
      <c r="Q42" s="166"/>
      <c r="R42" s="166"/>
      <c r="S42" s="166"/>
      <c r="T42" s="166"/>
      <c r="U42" s="166"/>
      <c r="V42" s="166"/>
      <c r="W42" s="166"/>
      <c r="X42" s="166"/>
      <c r="Y42" s="166"/>
      <c r="Z42" s="170"/>
    </row>
    <row r="43" spans="2:26" ht="12" customHeight="1">
      <c r="B43" s="141" t="s">
        <v>135</v>
      </c>
      <c r="C43" s="53"/>
      <c r="D43" s="53"/>
      <c r="E43" s="14"/>
      <c r="F43" s="14"/>
      <c r="G43" s="14"/>
      <c r="H43" s="14"/>
      <c r="I43" s="14"/>
      <c r="J43" s="14"/>
      <c r="K43" s="14"/>
      <c r="L43" s="14"/>
      <c r="M43" s="18"/>
      <c r="N43" s="14"/>
      <c r="O43" s="14"/>
      <c r="P43" s="14"/>
      <c r="Q43" s="14"/>
      <c r="R43" s="14"/>
      <c r="S43" s="14"/>
      <c r="T43" s="14"/>
      <c r="U43" s="14"/>
      <c r="V43" s="14"/>
      <c r="W43" s="14"/>
      <c r="X43" s="14"/>
      <c r="Y43" s="14"/>
      <c r="Z43" s="54"/>
    </row>
    <row r="44" spans="2:26" ht="9" customHeight="1">
      <c r="B44" s="44"/>
      <c r="C44" s="30"/>
      <c r="D44" s="30"/>
      <c r="E44" s="30"/>
      <c r="F44" s="30"/>
      <c r="G44" s="30"/>
      <c r="H44" s="30"/>
      <c r="I44" s="30"/>
      <c r="J44" s="30"/>
      <c r="K44" s="30"/>
      <c r="L44" s="30"/>
      <c r="M44" s="30"/>
      <c r="N44" s="30"/>
      <c r="O44" s="30"/>
      <c r="P44" s="30"/>
      <c r="Q44" s="30"/>
      <c r="R44" s="30"/>
      <c r="S44" s="30"/>
      <c r="T44" s="30"/>
      <c r="U44" s="30"/>
      <c r="V44" s="30"/>
      <c r="W44" s="30"/>
      <c r="X44" s="30"/>
      <c r="Y44" s="30"/>
      <c r="Z44" s="45"/>
    </row>
    <row r="45" spans="2:30" ht="12.75" customHeight="1">
      <c r="B45" s="44"/>
      <c r="C45" s="446" t="s">
        <v>136</v>
      </c>
      <c r="D45" s="447"/>
      <c r="E45" s="447"/>
      <c r="F45" s="447"/>
      <c r="G45" s="447"/>
      <c r="H45" s="447"/>
      <c r="I45" s="447"/>
      <c r="J45" s="448"/>
      <c r="K45" s="35"/>
      <c r="L45" s="497" t="s">
        <v>63</v>
      </c>
      <c r="M45" s="498"/>
      <c r="N45" s="446" t="s">
        <v>98</v>
      </c>
      <c r="O45" s="447"/>
      <c r="P45" s="447"/>
      <c r="Q45" s="447"/>
      <c r="R45" s="447"/>
      <c r="S45" s="448"/>
      <c r="T45" s="516" t="s">
        <v>64</v>
      </c>
      <c r="U45" s="517"/>
      <c r="V45" s="517"/>
      <c r="W45" s="517"/>
      <c r="X45" s="517"/>
      <c r="Y45" s="518"/>
      <c r="Z45" s="45"/>
      <c r="AB45" s="1"/>
      <c r="AC45" s="1"/>
      <c r="AD45" s="1"/>
    </row>
    <row r="46" spans="2:30" ht="12.75" customHeight="1">
      <c r="B46" s="44"/>
      <c r="C46" s="449" t="s">
        <v>18</v>
      </c>
      <c r="D46" s="542" t="s">
        <v>41</v>
      </c>
      <c r="E46" s="456" t="s">
        <v>137</v>
      </c>
      <c r="F46" s="468" t="s">
        <v>21</v>
      </c>
      <c r="G46" s="458" t="s">
        <v>159</v>
      </c>
      <c r="H46" s="459"/>
      <c r="I46" s="460"/>
      <c r="J46" s="463" t="s">
        <v>185</v>
      </c>
      <c r="K46" s="463"/>
      <c r="L46" s="101" t="s">
        <v>72</v>
      </c>
      <c r="M46" s="100" t="s">
        <v>71</v>
      </c>
      <c r="N46" s="23" t="s">
        <v>19</v>
      </c>
      <c r="O46" s="26" t="str">
        <f>K48&amp;"% compatibility limits"</f>
        <v>90% compatibility limits</v>
      </c>
      <c r="P46" s="27"/>
      <c r="Q46" s="28"/>
      <c r="R46" s="497" t="s">
        <v>162</v>
      </c>
      <c r="S46" s="498"/>
      <c r="T46" s="504" t="str">
        <f>"...beneficial or
substantially "&amp;L47</f>
        <v>...beneficial or
substantially +ive</v>
      </c>
      <c r="U46" s="505"/>
      <c r="V46" s="508" t="s">
        <v>70</v>
      </c>
      <c r="W46" s="509"/>
      <c r="X46" s="512" t="str">
        <f>"...harmful or 
substantially "&amp;M47</f>
        <v>...harmful or 
substantially –ive</v>
      </c>
      <c r="Y46" s="513"/>
      <c r="Z46" s="461" t="s">
        <v>125</v>
      </c>
      <c r="AB46" s="1"/>
      <c r="AC46" s="1"/>
      <c r="AD46" s="1"/>
    </row>
    <row r="47" spans="2:32" ht="13.5" customHeight="1">
      <c r="B47" s="44"/>
      <c r="C47" s="449"/>
      <c r="D47" s="543"/>
      <c r="E47" s="457"/>
      <c r="F47" s="467"/>
      <c r="G47" s="38" t="s">
        <v>15</v>
      </c>
      <c r="H47" s="39" t="s">
        <v>16</v>
      </c>
      <c r="I47" s="37" t="s">
        <v>101</v>
      </c>
      <c r="J47" s="36" t="s">
        <v>3</v>
      </c>
      <c r="K47" s="25" t="s">
        <v>20</v>
      </c>
      <c r="L47" s="104" t="str">
        <f>IF(ISBLANK(L48),"???",IF(L48&lt;0,"–ive","+ive"))</f>
        <v>+ive</v>
      </c>
      <c r="M47" s="105" t="str">
        <f>IF(TYPE(M48)=2,"???",IF(M48&lt;0,"–ive","+ive"))</f>
        <v>–ive</v>
      </c>
      <c r="N47" s="19" t="s">
        <v>31</v>
      </c>
      <c r="O47" s="25" t="s">
        <v>0</v>
      </c>
      <c r="P47" s="25" t="s">
        <v>1</v>
      </c>
      <c r="Q47" s="22" t="s">
        <v>2</v>
      </c>
      <c r="R47" s="82" t="s">
        <v>66</v>
      </c>
      <c r="S47" s="74" t="s">
        <v>138</v>
      </c>
      <c r="T47" s="527"/>
      <c r="U47" s="528"/>
      <c r="V47" s="531"/>
      <c r="W47" s="532"/>
      <c r="X47" s="529"/>
      <c r="Y47" s="530"/>
      <c r="Z47" s="462"/>
      <c r="AB47" s="3" t="s">
        <v>4</v>
      </c>
      <c r="AC47" s="50" t="s">
        <v>32</v>
      </c>
      <c r="AD47" s="4" t="s">
        <v>5</v>
      </c>
      <c r="AE47" s="5" t="s">
        <v>6</v>
      </c>
      <c r="AF47" s="5" t="s">
        <v>33</v>
      </c>
    </row>
    <row r="48" spans="2:32" s="87" customFormat="1" ht="18" customHeight="1">
      <c r="B48" s="83"/>
      <c r="C48" s="84" t="s">
        <v>7</v>
      </c>
      <c r="D48" s="84">
        <v>0.5</v>
      </c>
      <c r="E48" s="75">
        <v>3.2</v>
      </c>
      <c r="F48" s="75">
        <v>12</v>
      </c>
      <c r="G48" s="75">
        <v>-0.8</v>
      </c>
      <c r="H48" s="75">
        <v>7.2</v>
      </c>
      <c r="I48" s="75"/>
      <c r="J48" s="75">
        <v>95</v>
      </c>
      <c r="K48" s="452">
        <f>100-2*$G$37</f>
        <v>90</v>
      </c>
      <c r="L48" s="454">
        <v>1</v>
      </c>
      <c r="M48" s="452">
        <f>IF(ISBLANK(L48)," ",-L48)</f>
        <v>-1</v>
      </c>
      <c r="N48" s="469">
        <f>AF48</f>
        <v>1.3000000000000003</v>
      </c>
      <c r="O48" s="469">
        <f>AF48-TINV((100-K48)/100,AE48)*AD48</f>
        <v>-0.7873593256016997</v>
      </c>
      <c r="P48" s="469">
        <f>AF48+TINV((100-K48)/100,AE48)*AD48</f>
        <v>3.3873593256017003</v>
      </c>
      <c r="Q48" s="469">
        <f>(P48-O48)/2</f>
        <v>2.0873593256017</v>
      </c>
      <c r="R48" s="471" t="str">
        <f>IF(T48&lt;$I$37,IF(MAX(V48,X48)=V48,V49&amp;" trivial; don't use",X49&amp;" harmful; don't use"),IF(X48&lt;$E$37,T49&amp;" beneficial; consider using","unclear; don't use; get more data"))</f>
        <v>unclear; don't use; get more data</v>
      </c>
      <c r="S48" s="471" t="str">
        <f>IF(MIN(T48,X48)&gt;$G$37,"unclear; get more data",IF(MAX(T48,V48,X48)=T48,T49&amp;" "&amp;L47,IF(MAX(T48,V48,X48)=V48,V49&amp;" trivial",X49&amp;" "&amp;M47)))</f>
        <v>possibly +ive</v>
      </c>
      <c r="T48" s="126">
        <f>100*IF(L48&gt;0,IF(AF48-L48&gt;0,1-TDIST((AF48-L48)/AD48,AE48,1),TDIST((L48-AF48)/AD48,AE48,1)),IF(AF48-L48&gt;0,TDIST((AF48-L48)/AD48,AE48,1),1-TDIST((L48-AF48)/AD48,AE48,1)))</f>
        <v>59.5861887236869</v>
      </c>
      <c r="U48" s="127" t="s">
        <v>65</v>
      </c>
      <c r="V48" s="126">
        <f>100-T48-X48</f>
        <v>36.841469518118885</v>
      </c>
      <c r="W48" s="127" t="s">
        <v>65</v>
      </c>
      <c r="X48" s="126">
        <f>100*IF(M48&gt;0,IF(AF48-M48&gt;0,1-TDIST((AF48-M48)/AD48,AE48,1),TDIST((M48-AF48)/AD48,AE48,1)),IF(AF48-M48&gt;0,TDIST((AF48-M48)/AD48,AE48,1),1-TDIST((M48-AF48)/AD48,AE48,1)))</f>
        <v>3.572341758194216</v>
      </c>
      <c r="Y48" s="127" t="s">
        <v>65</v>
      </c>
      <c r="Z48" s="185">
        <f>T48/(100-T48)/(X48/(100-X48))</f>
        <v>39.79829056885247</v>
      </c>
      <c r="AB48" s="72">
        <f aca="true" t="shared" si="0" ref="AB48:AB53">IF(ISNUMBER(E48),IF(ISNUMBER(I48),I48,(H48-G48)/2)/TINV(1-J48/100,F48),"")</f>
        <v>1.8358621472827124</v>
      </c>
      <c r="AC48" s="86">
        <f aca="true" t="shared" si="1" ref="AC48:AC53">IF(ISBLANK(E48),"",1/F48)</f>
        <v>0.08333333333333333</v>
      </c>
      <c r="AD48" s="492">
        <f>SQRT(SUMPRODUCT(AB48:AB53,AB48:AB53,D48:D53,D48:D53))</f>
        <v>1.2238141388056618</v>
      </c>
      <c r="AE48" s="491">
        <f>SUMPRODUCT(AB48:AB53,AB48:AB53,D48:D53,D48:D53)^2/SUMPRODUCT(AB48:AB53,AB48:AB53,AB48:AB53,AB48:AB53,D48:D53,D48:D53,D48:D53,D48:D53,AC48:AC53)</f>
        <v>26.143732732583754</v>
      </c>
      <c r="AF48" s="492">
        <f>SUMPRODUCT(D48:D53,E48:E53)</f>
        <v>1.3000000000000003</v>
      </c>
    </row>
    <row r="49" spans="2:32" s="87" customFormat="1" ht="18" customHeight="1">
      <c r="B49" s="83"/>
      <c r="C49" s="84" t="s">
        <v>8</v>
      </c>
      <c r="D49" s="84">
        <v>0.5</v>
      </c>
      <c r="E49" s="75">
        <v>2.6</v>
      </c>
      <c r="F49" s="75">
        <v>9</v>
      </c>
      <c r="G49" s="75">
        <v>0.5</v>
      </c>
      <c r="H49" s="75">
        <v>4.7</v>
      </c>
      <c r="I49" s="75"/>
      <c r="J49" s="88">
        <f>J48</f>
        <v>95</v>
      </c>
      <c r="K49" s="453"/>
      <c r="L49" s="521"/>
      <c r="M49" s="453"/>
      <c r="N49" s="470"/>
      <c r="O49" s="480"/>
      <c r="P49" s="480"/>
      <c r="Q49" s="480"/>
      <c r="R49" s="472"/>
      <c r="S49" s="472"/>
      <c r="T49" s="499" t="str">
        <f>IF(T48&lt;$E$37,$D$37,IF(T48&lt;$G$37,$F$37,IF(T48&lt;$I$37,$H$37,IF(T48&lt;$K$37,$J$37,IF(T48&lt;$M$37,$L$37,IF(T48&lt;$O$37,$N$37,$P$37))))))</f>
        <v>possibly</v>
      </c>
      <c r="U49" s="500"/>
      <c r="V49" s="499" t="str">
        <f>IF(V48&lt;$E$37,$D$37,IF(V48&lt;$G$37,$F$37,IF(V48&lt;$I$37,$H$37,IF(V48&lt;$K$37,$J$37,IF(V48&lt;$M$37,$L$37,IF(V48&lt;$O$37,$N$37,$P$37))))))</f>
        <v>possibly</v>
      </c>
      <c r="W49" s="500"/>
      <c r="X49" s="499" t="str">
        <f>IF(X48&lt;$E$37,$D$37,IF(X48&lt;$G$37,$F$37,IF(X48&lt;$I$37,$H$37,IF(X48&lt;$K$37,$J$37,IF(X48&lt;$M$37,$L$37,IF(X48&lt;$O$37,$N$37,$P$37))))))</f>
        <v>very unlikely</v>
      </c>
      <c r="Y49" s="500"/>
      <c r="Z49" s="85"/>
      <c r="AB49" s="72">
        <f t="shared" si="0"/>
        <v>0.9283174637620569</v>
      </c>
      <c r="AC49" s="86">
        <f t="shared" si="1"/>
        <v>0.1111111111111111</v>
      </c>
      <c r="AD49" s="492"/>
      <c r="AE49" s="491"/>
      <c r="AF49" s="492"/>
    </row>
    <row r="50" spans="2:32" s="87" customFormat="1" ht="18" customHeight="1">
      <c r="B50" s="83"/>
      <c r="C50" s="84" t="s">
        <v>34</v>
      </c>
      <c r="D50" s="84">
        <v>0</v>
      </c>
      <c r="E50" s="75">
        <v>1.6</v>
      </c>
      <c r="F50" s="75">
        <v>11</v>
      </c>
      <c r="G50" s="75">
        <v>-1.7</v>
      </c>
      <c r="H50" s="75">
        <v>4.9</v>
      </c>
      <c r="I50" s="75"/>
      <c r="J50" s="88">
        <f>J49</f>
        <v>95</v>
      </c>
      <c r="K50" s="89"/>
      <c r="L50" s="89"/>
      <c r="M50" s="89"/>
      <c r="N50" s="114" t="s">
        <v>35</v>
      </c>
      <c r="O50" s="115"/>
      <c r="P50" s="116"/>
      <c r="Q50" s="116"/>
      <c r="R50" s="201">
        <f>IF(AND(X48&gt;$E$37,Z48&gt;$I$37/$K$37/($E$37/$O$37)),"Less conservative clinical: '"&amp;T49&amp;" beneficial, consider using' because odds ratio is &gt;"&amp;ROUND($I$37/$K$37/($E$37/$O$37),1)&amp;".","")</f>
      </c>
      <c r="S50" s="116"/>
      <c r="T50" s="116"/>
      <c r="U50" s="116"/>
      <c r="V50" s="116"/>
      <c r="W50" s="116"/>
      <c r="X50" s="116"/>
      <c r="Y50" s="117"/>
      <c r="Z50" s="85"/>
      <c r="AB50" s="72">
        <f t="shared" si="0"/>
        <v>1.4993286005902031</v>
      </c>
      <c r="AC50" s="86">
        <f t="shared" si="1"/>
        <v>0.09090909090909091</v>
      </c>
      <c r="AD50" s="118" t="s">
        <v>5</v>
      </c>
      <c r="AE50" s="119" t="s">
        <v>6</v>
      </c>
      <c r="AF50" s="119" t="s">
        <v>36</v>
      </c>
    </row>
    <row r="51" spans="2:32" s="87" customFormat="1" ht="18" customHeight="1">
      <c r="B51" s="83"/>
      <c r="C51" s="84" t="s">
        <v>37</v>
      </c>
      <c r="D51" s="84">
        <v>-1</v>
      </c>
      <c r="E51" s="75">
        <v>1.6</v>
      </c>
      <c r="F51" s="75">
        <v>9</v>
      </c>
      <c r="G51" s="75">
        <v>0.1</v>
      </c>
      <c r="H51" s="75">
        <v>3.1</v>
      </c>
      <c r="I51" s="75"/>
      <c r="J51" s="88">
        <f>J50</f>
        <v>95</v>
      </c>
      <c r="K51" s="89"/>
      <c r="L51" s="89"/>
      <c r="M51" s="89"/>
      <c r="N51" s="450">
        <f>AF51</f>
        <v>2.25</v>
      </c>
      <c r="O51" s="473">
        <f>AF51-TINV((100-K48)/100,AE51)*AD51</f>
        <v>1.1349603380253108</v>
      </c>
      <c r="P51" s="473">
        <f>AF51+TINV((100-K48)/100,AE51)*AD51</f>
        <v>3.365039661974689</v>
      </c>
      <c r="Q51" s="473">
        <f>(P51-O51)/2</f>
        <v>1.1150396619746892</v>
      </c>
      <c r="R51" s="476" t="str">
        <f>IF(T51&lt;$I$37,IF(MAX(V51,X51)=V51,V52&amp;" trivial; don't use",X52&amp;" harmful; don't use"),IF(X51&lt;$E$37,T52&amp;" beneficial; consider using","unclear; don't use; get more data"))</f>
        <v>very likely beneficial; consider using</v>
      </c>
      <c r="S51" s="476" t="str">
        <f>IF(MIN(T51,X51)&gt;$G$37,"unclear; get more data",IF(MAX(T51,V51,X51)=T51,T52&amp;" "&amp;L47,IF(MAX(T51,V51,X51)=V51,V52&amp;" trivial",X52&amp;" "&amp;M47)))</f>
        <v>very likely +ive</v>
      </c>
      <c r="T51" s="128">
        <f>100*IF(L48&gt;0,IF(AF51-L48&gt;0,1-TDIST((AF51-L48)/AD51,AE51,1),TDIST((L48-AF51)/AD51,AE51,1)),IF(AF51-L48&gt;0,TDIST((AF51-L48)/AD51,AE51,1),1-TDIST((L48-AF51)/AD51,AE51,1)))</f>
        <v>96.66652156227708</v>
      </c>
      <c r="U51" s="129" t="s">
        <v>65</v>
      </c>
      <c r="V51" s="128">
        <f>100-T51-X51</f>
        <v>3.3322101285092898</v>
      </c>
      <c r="W51" s="129" t="s">
        <v>65</v>
      </c>
      <c r="X51" s="128">
        <f>100*IF(M48&gt;0,IF(AF51-M48&gt;0,1-TDIST((AF51-M48)/AD51,AE51,1),TDIST((M48-AF51)/AD51,AE51,1)),IF(AF51-M48&gt;0,TDIST((AF51-M48)/AD51,AE51,1),1-TDIST((M48-AF51)/AD51,AE51,1)))</f>
        <v>0.0012683092136272797</v>
      </c>
      <c r="Y51" s="129" t="s">
        <v>65</v>
      </c>
      <c r="Z51" s="186">
        <f>T51/(100-T51)/(X51/(100-X51))</f>
        <v>2286376.698415518</v>
      </c>
      <c r="AB51" s="72">
        <f t="shared" si="0"/>
        <v>0.6630839026871835</v>
      </c>
      <c r="AC51" s="86">
        <f t="shared" si="1"/>
        <v>0.1111111111111111</v>
      </c>
      <c r="AD51" s="492">
        <f>SQRT(SUMPRODUCT(AB48:AB53,AB48:AB53))/COUNT(E48:E53)</f>
        <v>0.6576392272696783</v>
      </c>
      <c r="AE51" s="491">
        <f>SUMPRODUCT(AB48:AB53,AB48:AB53)^2/SUMPRODUCT(AB48:AB53,AB48:AB53,AB48:AB53,AB48:AB53,AC48:AC53)</f>
        <v>31.71069795423456</v>
      </c>
      <c r="AF51" s="492">
        <f>AVERAGE(E48:E53)</f>
        <v>2.25</v>
      </c>
    </row>
    <row r="52" spans="2:32" s="87" customFormat="1" ht="18" customHeight="1">
      <c r="B52" s="83"/>
      <c r="C52" s="84" t="s">
        <v>38</v>
      </c>
      <c r="D52" s="84"/>
      <c r="E52" s="75"/>
      <c r="F52" s="75"/>
      <c r="G52" s="75"/>
      <c r="H52" s="75"/>
      <c r="I52" s="75"/>
      <c r="J52" s="88">
        <f>J51</f>
        <v>95</v>
      </c>
      <c r="K52" s="89"/>
      <c r="L52" s="89"/>
      <c r="M52" s="89"/>
      <c r="N52" s="451"/>
      <c r="O52" s="451"/>
      <c r="P52" s="451"/>
      <c r="Q52" s="451"/>
      <c r="R52" s="476"/>
      <c r="S52" s="476"/>
      <c r="T52" s="489" t="str">
        <f>IF(T51&lt;$E$37,$D$37,IF(T51&lt;$G$37,$F$37,IF(T51&lt;$I$37,$H$37,IF(T51&lt;$K$37,$J$37,IF(T51&lt;$M$37,$L$37,IF(T51&lt;$O$37,$N$37,$P$37))))))</f>
        <v>very likely</v>
      </c>
      <c r="U52" s="490"/>
      <c r="V52" s="489" t="str">
        <f>IF(V51&lt;$E$37,$D$37,IF(V51&lt;$G$37,$F$37,IF(V51&lt;$I$37,$H$37,IF(V51&lt;$K$37,$J$37,IF(V51&lt;$M$37,$L$37,IF(V51&lt;$O$37,$N$37,$P$37))))))</f>
        <v>very unlikely</v>
      </c>
      <c r="W52" s="490"/>
      <c r="X52" s="489" t="str">
        <f>IF(X51&lt;$E$37,$D$37,IF(X51&lt;$G$37,$F$37,IF(X51&lt;$I$37,$H$37,IF(X51&lt;$K$37,$J$37,IF(X51&lt;$M$37,$L$37,IF(X51&lt;$O$37,$N$37,$P$37))))))</f>
        <v>most unlikely</v>
      </c>
      <c r="Y52" s="490"/>
      <c r="Z52" s="85"/>
      <c r="AB52" s="72">
        <f t="shared" si="0"/>
      </c>
      <c r="AC52" s="86">
        <f t="shared" si="1"/>
      </c>
      <c r="AD52" s="492"/>
      <c r="AE52" s="491"/>
      <c r="AF52" s="492"/>
    </row>
    <row r="53" spans="2:32" s="87" customFormat="1" ht="18" customHeight="1">
      <c r="B53" s="83"/>
      <c r="C53" s="84" t="s">
        <v>39</v>
      </c>
      <c r="D53" s="84"/>
      <c r="E53" s="75"/>
      <c r="F53" s="75"/>
      <c r="G53" s="75"/>
      <c r="H53" s="75"/>
      <c r="I53" s="75"/>
      <c r="J53" s="88">
        <f>J52</f>
        <v>95</v>
      </c>
      <c r="K53" s="89"/>
      <c r="L53" s="89"/>
      <c r="M53" s="89"/>
      <c r="N53" s="120"/>
      <c r="O53" s="120"/>
      <c r="P53" s="120"/>
      <c r="Q53" s="120"/>
      <c r="R53" s="201">
        <f>IF(AND(X51&gt;$E$37,Z51&gt;$I$37/$K$37/($E$37/$O$37)),"Less conservative clinical: '"&amp;T52&amp;" beneficial, consider using' because odds ratio is &gt;"&amp;ROUND($I$37/$K$37/($E$37/$O$37),1)&amp;".","")</f>
      </c>
      <c r="S53" s="435"/>
      <c r="T53" s="435"/>
      <c r="U53" s="435"/>
      <c r="V53" s="435"/>
      <c r="W53" s="435"/>
      <c r="X53" s="435"/>
      <c r="Y53" s="435"/>
      <c r="Z53" s="85"/>
      <c r="AB53" s="72">
        <f t="shared" si="0"/>
      </c>
      <c r="AC53" s="86">
        <f t="shared" si="1"/>
      </c>
      <c r="AD53" s="66"/>
      <c r="AE53" s="67"/>
      <c r="AF53" s="66"/>
    </row>
    <row r="54" spans="2:29" ht="13.5" customHeight="1" thickBot="1">
      <c r="B54" s="44"/>
      <c r="C54" s="55"/>
      <c r="D54" s="68" t="str">
        <f>IF(AND(COUNTIF(D48:D53,"=1")=SUM(D48:D53),SUM(D48:D53)&gt;1),"Decision is for the addition (simultaneous use) of effects marked with 1s",IF(SUMPRODUCT(D48:D53,D48:D53)&gt;2,"ERROR: bad weights",IF(OR(SUM(D48:D53)=1,SUM(D48:D53)=0),"Good weights","ERROR: weights do not add to 1 or 0")))</f>
        <v>Good weights</v>
      </c>
      <c r="E54" s="34"/>
      <c r="F54" s="34"/>
      <c r="G54" s="34"/>
      <c r="H54" s="34"/>
      <c r="I54" s="34"/>
      <c r="J54" s="34"/>
      <c r="K54" s="34"/>
      <c r="L54" s="34"/>
      <c r="M54" s="34"/>
      <c r="N54" s="34"/>
      <c r="O54" s="34"/>
      <c r="P54" s="34"/>
      <c r="Q54" s="34"/>
      <c r="R54" s="34"/>
      <c r="S54" s="34"/>
      <c r="T54" s="34"/>
      <c r="U54" s="34"/>
      <c r="V54" s="34"/>
      <c r="W54" s="34"/>
      <c r="X54" s="34"/>
      <c r="Y54" s="34"/>
      <c r="Z54" s="45"/>
      <c r="AB54" s="13"/>
      <c r="AC54" s="13"/>
    </row>
    <row r="55" spans="2:29" ht="13.5" customHeight="1">
      <c r="B55" s="207"/>
      <c r="C55" s="208"/>
      <c r="D55" s="226"/>
      <c r="E55" s="209"/>
      <c r="F55" s="209"/>
      <c r="G55" s="209"/>
      <c r="H55" s="209"/>
      <c r="I55" s="209"/>
      <c r="J55" s="209"/>
      <c r="K55" s="209"/>
      <c r="L55" s="209"/>
      <c r="M55" s="209"/>
      <c r="N55" s="209"/>
      <c r="O55" s="209"/>
      <c r="P55" s="209"/>
      <c r="Q55" s="209"/>
      <c r="R55" s="209"/>
      <c r="S55" s="209"/>
      <c r="T55" s="209"/>
      <c r="U55" s="209"/>
      <c r="V55" s="209"/>
      <c r="W55" s="209"/>
      <c r="X55" s="209"/>
      <c r="Y55" s="209"/>
      <c r="Z55" s="211"/>
      <c r="AB55" s="13"/>
      <c r="AC55" s="13"/>
    </row>
    <row r="56" spans="2:30" ht="12.75" customHeight="1">
      <c r="B56" s="44"/>
      <c r="C56" s="446" t="s">
        <v>136</v>
      </c>
      <c r="D56" s="447"/>
      <c r="E56" s="447"/>
      <c r="F56" s="447"/>
      <c r="G56" s="447"/>
      <c r="H56" s="447"/>
      <c r="I56" s="447"/>
      <c r="J56" s="448"/>
      <c r="K56" s="35"/>
      <c r="L56" s="497" t="s">
        <v>63</v>
      </c>
      <c r="M56" s="498"/>
      <c r="N56" s="446" t="s">
        <v>98</v>
      </c>
      <c r="O56" s="447"/>
      <c r="P56" s="447"/>
      <c r="Q56" s="447"/>
      <c r="R56" s="447"/>
      <c r="S56" s="448"/>
      <c r="T56" s="516" t="s">
        <v>64</v>
      </c>
      <c r="U56" s="517"/>
      <c r="V56" s="517"/>
      <c r="W56" s="517"/>
      <c r="X56" s="517"/>
      <c r="Y56" s="518"/>
      <c r="Z56" s="45"/>
      <c r="AB56" s="1"/>
      <c r="AC56" s="1"/>
      <c r="AD56" s="1"/>
    </row>
    <row r="57" spans="2:30" ht="12.75" customHeight="1">
      <c r="B57" s="44"/>
      <c r="C57" s="449" t="s">
        <v>18</v>
      </c>
      <c r="D57" s="542" t="s">
        <v>41</v>
      </c>
      <c r="E57" s="456" t="s">
        <v>137</v>
      </c>
      <c r="F57" s="468" t="s">
        <v>21</v>
      </c>
      <c r="G57" s="458" t="s">
        <v>159</v>
      </c>
      <c r="H57" s="459"/>
      <c r="I57" s="460"/>
      <c r="J57" s="463" t="s">
        <v>185</v>
      </c>
      <c r="K57" s="463"/>
      <c r="L57" s="101" t="s">
        <v>72</v>
      </c>
      <c r="M57" s="100" t="s">
        <v>71</v>
      </c>
      <c r="N57" s="23" t="s">
        <v>19</v>
      </c>
      <c r="O57" s="26" t="str">
        <f>K59&amp;"% compatibility limits"</f>
        <v>90% compatibility limits</v>
      </c>
      <c r="P57" s="27"/>
      <c r="Q57" s="28"/>
      <c r="R57" s="497" t="s">
        <v>162</v>
      </c>
      <c r="S57" s="498"/>
      <c r="T57" s="504" t="str">
        <f>"...beneficial or
substantially "&amp;L58</f>
        <v>...beneficial or
substantially ???</v>
      </c>
      <c r="U57" s="505"/>
      <c r="V57" s="508" t="s">
        <v>70</v>
      </c>
      <c r="W57" s="509"/>
      <c r="X57" s="512" t="str">
        <f>"...harmful or 
substantially "&amp;M58</f>
        <v>...harmful or 
substantially ???</v>
      </c>
      <c r="Y57" s="513"/>
      <c r="Z57" s="461" t="s">
        <v>125</v>
      </c>
      <c r="AB57" s="1"/>
      <c r="AC57" s="1"/>
      <c r="AD57" s="1"/>
    </row>
    <row r="58" spans="2:32" ht="13.5" customHeight="1">
      <c r="B58" s="44"/>
      <c r="C58" s="449"/>
      <c r="D58" s="543"/>
      <c r="E58" s="457"/>
      <c r="F58" s="467"/>
      <c r="G58" s="38" t="s">
        <v>15</v>
      </c>
      <c r="H58" s="39" t="s">
        <v>16</v>
      </c>
      <c r="I58" s="37" t="s">
        <v>101</v>
      </c>
      <c r="J58" s="36" t="s">
        <v>3</v>
      </c>
      <c r="K58" s="25" t="s">
        <v>20</v>
      </c>
      <c r="L58" s="104" t="str">
        <f>IF(ISBLANK(L59),"???",IF(L59&lt;0,"–ive","+ive"))</f>
        <v>???</v>
      </c>
      <c r="M58" s="105" t="str">
        <f>IF(TYPE(M59)=2,"???",IF(M59&lt;0,"–ive","+ive"))</f>
        <v>???</v>
      </c>
      <c r="N58" s="19" t="s">
        <v>31</v>
      </c>
      <c r="O58" s="25" t="s">
        <v>0</v>
      </c>
      <c r="P58" s="25" t="s">
        <v>1</v>
      </c>
      <c r="Q58" s="22" t="s">
        <v>2</v>
      </c>
      <c r="R58" s="82" t="s">
        <v>66</v>
      </c>
      <c r="S58" s="74" t="s">
        <v>138</v>
      </c>
      <c r="T58" s="506"/>
      <c r="U58" s="507"/>
      <c r="V58" s="531"/>
      <c r="W58" s="532"/>
      <c r="X58" s="529"/>
      <c r="Y58" s="530"/>
      <c r="Z58" s="462"/>
      <c r="AB58" s="3" t="s">
        <v>4</v>
      </c>
      <c r="AC58" s="50" t="s">
        <v>32</v>
      </c>
      <c r="AD58" s="4" t="s">
        <v>5</v>
      </c>
      <c r="AE58" s="5" t="s">
        <v>6</v>
      </c>
      <c r="AF58" s="5" t="s">
        <v>33</v>
      </c>
    </row>
    <row r="59" spans="2:32" s="87" customFormat="1" ht="18" customHeight="1">
      <c r="B59" s="83"/>
      <c r="C59" s="173" t="s">
        <v>7</v>
      </c>
      <c r="D59" s="84"/>
      <c r="E59" s="75"/>
      <c r="F59" s="75"/>
      <c r="G59" s="75"/>
      <c r="H59" s="75"/>
      <c r="I59" s="75"/>
      <c r="J59" s="99">
        <v>90</v>
      </c>
      <c r="K59" s="452">
        <f>100-2*$G$37</f>
        <v>90</v>
      </c>
      <c r="L59" s="548"/>
      <c r="M59" s="452" t="str">
        <f>IF(ISBLANK(L59)," ",-L59)</f>
        <v> </v>
      </c>
      <c r="N59" s="481">
        <f>AF59</f>
        <v>0</v>
      </c>
      <c r="O59" s="469" t="e">
        <f>AF59-TINV((100-K59)/100,AE59)*AD59</f>
        <v>#DIV/0!</v>
      </c>
      <c r="P59" s="469" t="e">
        <f>AF59+TINV((100-K59)/100,AE59)*AD59</f>
        <v>#DIV/0!</v>
      </c>
      <c r="Q59" s="469" t="e">
        <f>(P59-O59)/2</f>
        <v>#DIV/0!</v>
      </c>
      <c r="R59" s="471" t="e">
        <f>IF(T59&lt;$I$37,IF(MAX(V59,X59)=V59,V60&amp;" trivial; don't use",X60&amp;" harmful; don't use"),IF(X59&lt;$E$37,T60&amp;" beneficial; consider using","unclear; don't use; get more data"))</f>
        <v>#DIV/0!</v>
      </c>
      <c r="S59" s="471" t="e">
        <f>IF(MIN(T59,X59)&gt;$G$37,"unclear; get more data",IF(MAX(T59,V59,X59)=T59,T60&amp;" "&amp;L58,IF(MAX(T59,V59,X59)=V59,V60&amp;" trivial",X60&amp;" "&amp;M58)))</f>
        <v>#DIV/0!</v>
      </c>
      <c r="T59" s="126" t="e">
        <f>100*IF(L59&gt;0,IF(AF59-L59&gt;0,1-TDIST((AF59-L59)/AD59,AE59,1),TDIST((L59-AF59)/AD59,AE59,1)),IF(AF59-L59&gt;0,TDIST((AF59-L59)/AD59,AE59,1),1-TDIST((L59-AF59)/AD59,AE59,1)))</f>
        <v>#DIV/0!</v>
      </c>
      <c r="U59" s="127" t="s">
        <v>65</v>
      </c>
      <c r="V59" s="126" t="e">
        <f>100-T59-X59</f>
        <v>#DIV/0!</v>
      </c>
      <c r="W59" s="127" t="s">
        <v>65</v>
      </c>
      <c r="X59" s="126" t="e">
        <f>100*IF(M59&gt;0,IF(AF59-M59&gt;0,1-TDIST((AF59-M59)/AD59,AE59,1),TDIST((M59-AF59)/AD59,AE59,1)),IF(AF59-M59&gt;0,TDIST((AF59-M59)/AD59,AE59,1),1-TDIST((M59-AF59)/AD59,AE59,1)))</f>
        <v>#VALUE!</v>
      </c>
      <c r="Y59" s="127" t="s">
        <v>65</v>
      </c>
      <c r="Z59" s="185" t="e">
        <f>T59/(100-T59)/(X59/(100-X59))</f>
        <v>#DIV/0!</v>
      </c>
      <c r="AB59" s="72">
        <f aca="true" t="shared" si="2" ref="AB59:AB64">IF(ISNUMBER(E59),IF(ISNUMBER(I59),I59,(H59-G59)/2)/TINV(1-J59/100,F59),"")</f>
      </c>
      <c r="AC59" s="86">
        <f aca="true" t="shared" si="3" ref="AC59:AC64">IF(ISBLANK(E59),"",1/F59)</f>
      </c>
      <c r="AD59" s="492">
        <f>SQRT(SUMPRODUCT(AB59:AB64,AB59:AB64,D59:D64,D59:D64))</f>
        <v>0</v>
      </c>
      <c r="AE59" s="491" t="e">
        <f>SUMPRODUCT(AB59:AB64,AB59:AB64,D59:D64,D59:D64)^2/SUMPRODUCT(AB59:AB64,AB59:AB64,AB59:AB64,AB59:AB64,D59:D64,D59:D64,D59:D64,D59:D64,AC59:AC64)</f>
        <v>#DIV/0!</v>
      </c>
      <c r="AF59" s="492">
        <f>SUMPRODUCT(D59:D64,E59:E64)</f>
        <v>0</v>
      </c>
    </row>
    <row r="60" spans="2:32" s="87" customFormat="1" ht="18" customHeight="1">
      <c r="B60" s="83"/>
      <c r="C60" s="173" t="s">
        <v>8</v>
      </c>
      <c r="D60" s="84"/>
      <c r="E60" s="75"/>
      <c r="F60" s="75"/>
      <c r="G60" s="75"/>
      <c r="H60" s="75"/>
      <c r="I60" s="75"/>
      <c r="J60" s="88">
        <f>J59</f>
        <v>90</v>
      </c>
      <c r="K60" s="453"/>
      <c r="L60" s="549"/>
      <c r="M60" s="453"/>
      <c r="N60" s="482"/>
      <c r="O60" s="480"/>
      <c r="P60" s="480"/>
      <c r="Q60" s="480"/>
      <c r="R60" s="472"/>
      <c r="S60" s="472"/>
      <c r="T60" s="493" t="e">
        <f>IF(T59&lt;$E$37,$D$37,IF(T59&lt;$G$37,$F$37,IF(T59&lt;$I$37,$H$37,IF(T59&lt;$K$37,$J$37,IF(T59&lt;$M$37,$L$37,IF(T59&lt;$O$37,$N$37,$P$37))))))</f>
        <v>#DIV/0!</v>
      </c>
      <c r="U60" s="494"/>
      <c r="V60" s="493" t="e">
        <f>IF(V59&lt;$E$37,$D$37,IF(V59&lt;$G$37,$F$37,IF(V59&lt;$I$37,$H$37,IF(V59&lt;$K$37,$J$37,IF(V59&lt;$M$37,$L$37,IF(V59&lt;$O$37,$N$37,$P$37))))))</f>
        <v>#DIV/0!</v>
      </c>
      <c r="W60" s="494"/>
      <c r="X60" s="493" t="e">
        <f>IF(X59&lt;$E$37,$D$37,IF(X59&lt;$G$37,$F$37,IF(X59&lt;$I$37,$H$37,IF(X59&lt;$K$37,$J$37,IF(X59&lt;$M$37,$L$37,IF(X59&lt;$O$37,$N$37,$P$37))))))</f>
        <v>#VALUE!</v>
      </c>
      <c r="Y60" s="494"/>
      <c r="Z60" s="85"/>
      <c r="AB60" s="72">
        <f t="shared" si="2"/>
      </c>
      <c r="AC60" s="86">
        <f t="shared" si="3"/>
      </c>
      <c r="AD60" s="492"/>
      <c r="AE60" s="491"/>
      <c r="AF60" s="492"/>
    </row>
    <row r="61" spans="2:32" s="87" customFormat="1" ht="18" customHeight="1">
      <c r="B61" s="83"/>
      <c r="C61" s="173" t="s">
        <v>34</v>
      </c>
      <c r="D61" s="173"/>
      <c r="E61" s="99"/>
      <c r="F61" s="99"/>
      <c r="G61" s="99"/>
      <c r="H61" s="99"/>
      <c r="I61" s="75"/>
      <c r="J61" s="88">
        <f>J60</f>
        <v>90</v>
      </c>
      <c r="K61" s="89"/>
      <c r="L61" s="89"/>
      <c r="M61" s="89"/>
      <c r="N61" s="114" t="s">
        <v>35</v>
      </c>
      <c r="O61" s="115"/>
      <c r="P61" s="116"/>
      <c r="Q61" s="116"/>
      <c r="R61" s="201" t="e">
        <f>IF(AND(X59&gt;$E$37,Z59&gt;$I$37/$K$37/($E$37/$O$37)),"Less conservative clinical: '"&amp;T60&amp;" beneficial, consider using' because odds ratio is &gt;"&amp;ROUND($I$37/$K$37/($E$37/$O$37),1)&amp;".","")</f>
        <v>#VALUE!</v>
      </c>
      <c r="S61" s="116"/>
      <c r="T61" s="116"/>
      <c r="U61" s="116"/>
      <c r="V61" s="116"/>
      <c r="W61" s="116"/>
      <c r="X61" s="116"/>
      <c r="Y61" s="117"/>
      <c r="Z61" s="85"/>
      <c r="AB61" s="72">
        <f t="shared" si="2"/>
      </c>
      <c r="AC61" s="86">
        <f t="shared" si="3"/>
      </c>
      <c r="AD61" s="118" t="s">
        <v>5</v>
      </c>
      <c r="AE61" s="119" t="s">
        <v>6</v>
      </c>
      <c r="AF61" s="119" t="s">
        <v>36</v>
      </c>
    </row>
    <row r="62" spans="2:32" s="87" customFormat="1" ht="18" customHeight="1">
      <c r="B62" s="83"/>
      <c r="C62" s="84" t="s">
        <v>37</v>
      </c>
      <c r="D62" s="84"/>
      <c r="E62" s="75"/>
      <c r="F62" s="75"/>
      <c r="G62" s="75"/>
      <c r="H62" s="75"/>
      <c r="I62" s="75"/>
      <c r="J62" s="88">
        <f>J61</f>
        <v>90</v>
      </c>
      <c r="K62" s="89"/>
      <c r="L62" s="89"/>
      <c r="M62" s="89"/>
      <c r="N62" s="485" t="e">
        <f>AF62</f>
        <v>#DIV/0!</v>
      </c>
      <c r="O62" s="473" t="e">
        <f>AF62-TINV((100-K59)/100,AE62)*AD62</f>
        <v>#DIV/0!</v>
      </c>
      <c r="P62" s="473" t="e">
        <f>AF62+TINV((100-K59)/100,AE62)*AD62</f>
        <v>#DIV/0!</v>
      </c>
      <c r="Q62" s="473" t="e">
        <f>(P62-O62)/2</f>
        <v>#DIV/0!</v>
      </c>
      <c r="R62" s="475" t="e">
        <f>IF(T62&lt;$I$37,IF(MAX(V62,X62)=V62,V63&amp;" trivial; don't use",X63&amp;" harmful; don't use"),IF(X62&lt;$E$37,T63&amp;" beneficial; consider using","unclear; don't use; get more data"))</f>
        <v>#DIV/0!</v>
      </c>
      <c r="S62" s="475" t="e">
        <f>IF(MIN(T62,X62)&gt;$G$37,"unclear; get more data",IF(MAX(T62,V62,X62)=T62,T63&amp;" "&amp;L58,IF(MAX(T62,V62,X62)=V62,V63&amp;" trivial",X63&amp;" "&amp;M58)))</f>
        <v>#DIV/0!</v>
      </c>
      <c r="T62" s="199" t="e">
        <f>100*IF(L59&gt;0,IF(AF62-L59&gt;0,1-TDIST((AF62-L59)/AD62,AE62,1),TDIST((L59-AF62)/AD62,AE62,1)),IF(AF62-L59&gt;0,TDIST((AF62-L59)/AD62,AE62,1),1-TDIST((L59-AF62)/AD62,AE62,1)))</f>
        <v>#DIV/0!</v>
      </c>
      <c r="U62" s="200" t="s">
        <v>65</v>
      </c>
      <c r="V62" s="199" t="e">
        <f>100-T62-X62</f>
        <v>#DIV/0!</v>
      </c>
      <c r="W62" s="200" t="s">
        <v>65</v>
      </c>
      <c r="X62" s="199" t="e">
        <f>100*IF(M59&gt;0,IF(AF62-M59&gt;0,1-TDIST((AF62-M59)/AD62,AE62,1),TDIST((M59-AF62)/AD62,AE62,1)),IF(AF62-M59&gt;0,TDIST((AF62-M59)/AD62,AE62,1),1-TDIST((M59-AF62)/AD62,AE62,1)))</f>
        <v>#DIV/0!</v>
      </c>
      <c r="Y62" s="200" t="s">
        <v>65</v>
      </c>
      <c r="Z62" s="186" t="e">
        <f>T62/(100-T62)/(X62/(100-X62))</f>
        <v>#DIV/0!</v>
      </c>
      <c r="AB62" s="72">
        <f t="shared" si="2"/>
      </c>
      <c r="AC62" s="86">
        <f t="shared" si="3"/>
      </c>
      <c r="AD62" s="492" t="e">
        <f>SQRT(SUMPRODUCT(AB59:AB64,AB59:AB64))/COUNT(E59:E64)</f>
        <v>#DIV/0!</v>
      </c>
      <c r="AE62" s="491" t="e">
        <f>SUMPRODUCT(AB59:AB64,AB59:AB64)^2/SUMPRODUCT(AB59:AB64,AB59:AB64,AB59:AB64,AB59:AB64,AC59:AC64)</f>
        <v>#DIV/0!</v>
      </c>
      <c r="AF62" s="492" t="e">
        <f>AVERAGE(E59:E64)</f>
        <v>#DIV/0!</v>
      </c>
    </row>
    <row r="63" spans="2:32" s="87" customFormat="1" ht="18" customHeight="1">
      <c r="B63" s="83"/>
      <c r="C63" s="84" t="s">
        <v>38</v>
      </c>
      <c r="D63" s="84"/>
      <c r="E63" s="75"/>
      <c r="F63" s="75"/>
      <c r="G63" s="75"/>
      <c r="H63" s="75"/>
      <c r="I63" s="75"/>
      <c r="J63" s="88">
        <f>J62</f>
        <v>90</v>
      </c>
      <c r="K63" s="89"/>
      <c r="L63" s="89"/>
      <c r="M63" s="89"/>
      <c r="N63" s="486"/>
      <c r="O63" s="451"/>
      <c r="P63" s="451"/>
      <c r="Q63" s="451"/>
      <c r="R63" s="476"/>
      <c r="S63" s="476"/>
      <c r="T63" s="489" t="e">
        <f>IF(T62&lt;$E$37,$D$37,IF(T62&lt;$G$37,$F$37,IF(T62&lt;$I$37,$H$37,IF(T62&lt;$K$37,$J$37,IF(T62&lt;$M$37,$L$37,IF(T62&lt;$O$37,$N$37,$P$37))))))</f>
        <v>#DIV/0!</v>
      </c>
      <c r="U63" s="490"/>
      <c r="V63" s="489" t="e">
        <f>IF(V62&lt;$E$37,$D$37,IF(V62&lt;$G$37,$F$37,IF(V62&lt;$I$37,$H$37,IF(V62&lt;$K$37,$J$37,IF(V62&lt;$M$37,$L$37,IF(V62&lt;$O$37,$N$37,$P$37))))))</f>
        <v>#DIV/0!</v>
      </c>
      <c r="W63" s="490"/>
      <c r="X63" s="489" t="e">
        <f>IF(X62&lt;$E$37,$D$37,IF(X62&lt;$G$37,$F$37,IF(X62&lt;$I$37,$H$37,IF(X62&lt;$K$37,$J$37,IF(X62&lt;$M$37,$L$37,IF(X62&lt;$O$37,$N$37,$P$37))))))</f>
        <v>#DIV/0!</v>
      </c>
      <c r="Y63" s="490"/>
      <c r="Z63" s="85"/>
      <c r="AB63" s="72">
        <f t="shared" si="2"/>
      </c>
      <c r="AC63" s="86">
        <f t="shared" si="3"/>
      </c>
      <c r="AD63" s="492"/>
      <c r="AE63" s="491"/>
      <c r="AF63" s="492"/>
    </row>
    <row r="64" spans="2:32" s="87" customFormat="1" ht="18" customHeight="1">
      <c r="B64" s="83"/>
      <c r="C64" s="84" t="s">
        <v>39</v>
      </c>
      <c r="D64" s="84"/>
      <c r="E64" s="75"/>
      <c r="F64" s="75"/>
      <c r="G64" s="75"/>
      <c r="H64" s="75"/>
      <c r="I64" s="75"/>
      <c r="J64" s="88">
        <f>J63</f>
        <v>90</v>
      </c>
      <c r="K64" s="89"/>
      <c r="L64" s="89"/>
      <c r="M64" s="89"/>
      <c r="N64" s="120"/>
      <c r="O64" s="120"/>
      <c r="P64" s="120"/>
      <c r="Q64" s="120"/>
      <c r="R64" s="201" t="e">
        <f>IF(AND(X62&gt;$E$37,Z62&gt;$I$37/$K$37/($E$37/$O$37)),"Less conservative clinical: '"&amp;T63&amp;" beneficial, consider using' because odds ratio is &gt;"&amp;ROUND($I$37/$K$37/($E$37/$O$37),1)&amp;".","")</f>
        <v>#DIV/0!</v>
      </c>
      <c r="S64" s="436"/>
      <c r="T64" s="436"/>
      <c r="U64" s="436"/>
      <c r="V64" s="436"/>
      <c r="W64" s="436"/>
      <c r="X64" s="436"/>
      <c r="Y64" s="436"/>
      <c r="Z64" s="85"/>
      <c r="AB64" s="72">
        <f t="shared" si="2"/>
      </c>
      <c r="AC64" s="86">
        <f t="shared" si="3"/>
      </c>
      <c r="AD64" s="66"/>
      <c r="AE64" s="67"/>
      <c r="AF64" s="66"/>
    </row>
    <row r="65" spans="2:29" ht="13.5" customHeight="1" thickBot="1">
      <c r="B65" s="46"/>
      <c r="C65" s="69"/>
      <c r="D65" s="70" t="str">
        <f>IF(AND(COUNTIF(D59:D64,"=1")=SUM(D59:D64),SUM(D59:D64)&gt;1),"Decision is for the addition (simultaneous use) of effects marked with 1s",IF(SUMPRODUCT(D59:D64,D59:D64)&gt;2,"ERROR: bad weights",IF(OR(SUM(D59:D64)=1,SUM(D59:D64)=0),"Good weights","ERROR: weights do not add to 1 or 0")))</f>
        <v>Good weights</v>
      </c>
      <c r="E65" s="49"/>
      <c r="F65" s="49"/>
      <c r="G65" s="49"/>
      <c r="H65" s="49"/>
      <c r="I65" s="49"/>
      <c r="J65" s="49"/>
      <c r="K65" s="49"/>
      <c r="L65" s="49"/>
      <c r="M65" s="49"/>
      <c r="N65" s="49"/>
      <c r="O65" s="49"/>
      <c r="P65" s="49"/>
      <c r="Q65" s="49"/>
      <c r="R65" s="49"/>
      <c r="S65" s="49"/>
      <c r="T65" s="49"/>
      <c r="U65" s="49"/>
      <c r="V65" s="49"/>
      <c r="W65" s="49"/>
      <c r="X65" s="49"/>
      <c r="Y65" s="49"/>
      <c r="Z65" s="48"/>
      <c r="AB65" s="13"/>
      <c r="AC65" s="13"/>
    </row>
    <row r="66" spans="6:29" ht="13.5" thickBot="1">
      <c r="F66" s="7"/>
      <c r="G66" s="15"/>
      <c r="AC66" s="1"/>
    </row>
    <row r="67" spans="1:26" s="21" customFormat="1" ht="15.75" customHeight="1">
      <c r="A67" s="125"/>
      <c r="B67" s="164" t="s">
        <v>255</v>
      </c>
      <c r="C67" s="168"/>
      <c r="D67" s="164"/>
      <c r="E67" s="166"/>
      <c r="F67" s="166"/>
      <c r="G67" s="166"/>
      <c r="H67" s="166"/>
      <c r="I67" s="166"/>
      <c r="J67" s="166"/>
      <c r="K67" s="166"/>
      <c r="L67" s="166"/>
      <c r="M67" s="166"/>
      <c r="N67" s="166"/>
      <c r="O67" s="166"/>
      <c r="P67" s="166"/>
      <c r="Q67" s="166"/>
      <c r="R67" s="166"/>
      <c r="S67" s="166"/>
      <c r="T67" s="166"/>
      <c r="U67" s="166"/>
      <c r="V67" s="166"/>
      <c r="W67" s="166"/>
      <c r="X67" s="166"/>
      <c r="Y67" s="166"/>
      <c r="Z67" s="170"/>
    </row>
    <row r="68" spans="1:26" s="21" customFormat="1" ht="12.75" customHeight="1">
      <c r="A68" s="125"/>
      <c r="B68" s="8" t="s">
        <v>49</v>
      </c>
      <c r="D68" s="71"/>
      <c r="E68" s="9"/>
      <c r="F68" s="9"/>
      <c r="G68" s="9"/>
      <c r="H68" s="9"/>
      <c r="I68" s="9"/>
      <c r="J68" s="9"/>
      <c r="K68" s="9"/>
      <c r="L68" s="9"/>
      <c r="M68" s="9"/>
      <c r="N68" s="9"/>
      <c r="O68" s="9"/>
      <c r="P68" s="9"/>
      <c r="Q68" s="9"/>
      <c r="R68" s="9"/>
      <c r="S68" s="9"/>
      <c r="T68" s="9"/>
      <c r="U68" s="9"/>
      <c r="V68" s="9"/>
      <c r="W68" s="9"/>
      <c r="X68" s="9"/>
      <c r="Y68" s="9"/>
      <c r="Z68" s="51"/>
    </row>
    <row r="69" spans="1:26" s="21" customFormat="1" ht="12.75" customHeight="1">
      <c r="A69" s="125"/>
      <c r="B69" s="8" t="s">
        <v>53</v>
      </c>
      <c r="D69" s="71"/>
      <c r="E69" s="9"/>
      <c r="F69" s="9"/>
      <c r="G69" s="9"/>
      <c r="H69" s="9"/>
      <c r="I69" s="9"/>
      <c r="J69" s="9"/>
      <c r="K69" s="9"/>
      <c r="L69" s="9"/>
      <c r="M69" s="9"/>
      <c r="N69" s="9"/>
      <c r="O69" s="9"/>
      <c r="P69" s="9"/>
      <c r="Q69" s="9"/>
      <c r="R69" s="9"/>
      <c r="S69" s="9"/>
      <c r="T69" s="9"/>
      <c r="U69" s="9"/>
      <c r="V69" s="9"/>
      <c r="W69" s="9"/>
      <c r="X69" s="9"/>
      <c r="Y69" s="9"/>
      <c r="Z69" s="51"/>
    </row>
    <row r="70" spans="2:26" ht="12" customHeight="1">
      <c r="B70" s="42"/>
      <c r="C70" s="53"/>
      <c r="D70" s="53"/>
      <c r="E70" s="14"/>
      <c r="F70" s="14"/>
      <c r="G70" s="14"/>
      <c r="H70" s="14"/>
      <c r="I70" s="14"/>
      <c r="J70" s="14"/>
      <c r="K70" s="14"/>
      <c r="L70" s="14"/>
      <c r="M70" s="18"/>
      <c r="N70" s="14"/>
      <c r="O70" s="14"/>
      <c r="P70" s="14"/>
      <c r="Q70" s="14"/>
      <c r="R70" s="14"/>
      <c r="S70" s="14"/>
      <c r="T70" s="14"/>
      <c r="U70" s="14"/>
      <c r="V70" s="14"/>
      <c r="W70" s="14"/>
      <c r="X70" s="14"/>
      <c r="Y70" s="14"/>
      <c r="Z70" s="54"/>
    </row>
    <row r="71" spans="2:26" ht="9" customHeight="1">
      <c r="B71" s="44"/>
      <c r="C71" s="30"/>
      <c r="D71" s="30"/>
      <c r="E71" s="30"/>
      <c r="F71" s="30"/>
      <c r="G71" s="30"/>
      <c r="H71" s="30"/>
      <c r="I71" s="30"/>
      <c r="J71" s="30"/>
      <c r="K71" s="30"/>
      <c r="L71" s="30"/>
      <c r="M71" s="30"/>
      <c r="N71" s="30"/>
      <c r="O71" s="30"/>
      <c r="P71" s="30"/>
      <c r="Q71" s="30"/>
      <c r="R71" s="30"/>
      <c r="S71" s="30"/>
      <c r="T71" s="30"/>
      <c r="U71" s="30"/>
      <c r="V71" s="30"/>
      <c r="W71" s="30"/>
      <c r="X71" s="30"/>
      <c r="Y71" s="30"/>
      <c r="Z71" s="45"/>
    </row>
    <row r="72" spans="2:30" ht="12.75" customHeight="1">
      <c r="B72" s="44"/>
      <c r="C72" s="446" t="s">
        <v>133</v>
      </c>
      <c r="D72" s="447"/>
      <c r="E72" s="447"/>
      <c r="F72" s="447"/>
      <c r="G72" s="447"/>
      <c r="H72" s="447"/>
      <c r="I72" s="447"/>
      <c r="J72" s="448"/>
      <c r="K72" s="35"/>
      <c r="L72" s="497" t="s">
        <v>122</v>
      </c>
      <c r="M72" s="498"/>
      <c r="N72" s="446" t="s">
        <v>99</v>
      </c>
      <c r="O72" s="447"/>
      <c r="P72" s="447"/>
      <c r="Q72" s="447"/>
      <c r="R72" s="447"/>
      <c r="S72" s="448"/>
      <c r="T72" s="516" t="s">
        <v>64</v>
      </c>
      <c r="U72" s="517"/>
      <c r="V72" s="517"/>
      <c r="W72" s="517"/>
      <c r="X72" s="517"/>
      <c r="Y72" s="518"/>
      <c r="Z72" s="45"/>
      <c r="AB72" s="1"/>
      <c r="AC72" s="1"/>
      <c r="AD72" s="1"/>
    </row>
    <row r="73" spans="2:30" ht="12.75" customHeight="1">
      <c r="B73" s="44"/>
      <c r="C73" s="449" t="s">
        <v>18</v>
      </c>
      <c r="D73" s="542" t="s">
        <v>41</v>
      </c>
      <c r="E73" s="456" t="s">
        <v>52</v>
      </c>
      <c r="F73" s="468" t="s">
        <v>21</v>
      </c>
      <c r="G73" s="458" t="s">
        <v>159</v>
      </c>
      <c r="H73" s="459"/>
      <c r="I73" s="460"/>
      <c r="J73" s="463" t="s">
        <v>185</v>
      </c>
      <c r="K73" s="463"/>
      <c r="L73" s="101" t="s">
        <v>72</v>
      </c>
      <c r="M73" s="100" t="s">
        <v>71</v>
      </c>
      <c r="N73" s="23" t="s">
        <v>19</v>
      </c>
      <c r="O73" s="26" t="str">
        <f>K75&amp;"% compatibility limits"</f>
        <v>90% compatibility limits</v>
      </c>
      <c r="P73" s="27"/>
      <c r="Q73" s="28"/>
      <c r="R73" s="497" t="s">
        <v>162</v>
      </c>
      <c r="S73" s="498"/>
      <c r="T73" s="504" t="str">
        <f>"...beneficial or
substantially "&amp;L74</f>
        <v>...beneficial or
substantially &gt;</v>
      </c>
      <c r="U73" s="505"/>
      <c r="V73" s="508" t="s">
        <v>70</v>
      </c>
      <c r="W73" s="509"/>
      <c r="X73" s="512" t="str">
        <f>"...harmful or 
substantially "&amp;M74</f>
        <v>...harmful or 
substantially &lt;</v>
      </c>
      <c r="Y73" s="513"/>
      <c r="Z73" s="539" t="s">
        <v>125</v>
      </c>
      <c r="AB73" s="1"/>
      <c r="AC73" s="1"/>
      <c r="AD73" s="1"/>
    </row>
    <row r="74" spans="2:33" ht="13.5" customHeight="1">
      <c r="B74" s="44"/>
      <c r="C74" s="449"/>
      <c r="D74" s="543"/>
      <c r="E74" s="457"/>
      <c r="F74" s="467"/>
      <c r="G74" s="38" t="s">
        <v>15</v>
      </c>
      <c r="H74" s="39" t="s">
        <v>16</v>
      </c>
      <c r="I74" s="37" t="s">
        <v>96</v>
      </c>
      <c r="J74" s="36" t="s">
        <v>3</v>
      </c>
      <c r="K74" s="25" t="s">
        <v>20</v>
      </c>
      <c r="L74" s="123" t="str">
        <f>IF(ISBLANK(L75),"???",IF(L75&lt;1,"&lt;","&gt;"))</f>
        <v>&gt;</v>
      </c>
      <c r="M74" s="124" t="str">
        <f>IF(TYPE(M75)=2,"???",IF(M75&lt;1,"&lt;","&gt;"))</f>
        <v>&lt;</v>
      </c>
      <c r="N74" s="19" t="s">
        <v>31</v>
      </c>
      <c r="O74" s="25" t="s">
        <v>0</v>
      </c>
      <c r="P74" s="25" t="s">
        <v>1</v>
      </c>
      <c r="Q74" s="16" t="s">
        <v>14</v>
      </c>
      <c r="R74" s="82" t="s">
        <v>66</v>
      </c>
      <c r="S74" s="74" t="s">
        <v>138</v>
      </c>
      <c r="T74" s="506"/>
      <c r="U74" s="507"/>
      <c r="V74" s="531"/>
      <c r="W74" s="532"/>
      <c r="X74" s="529"/>
      <c r="Y74" s="530"/>
      <c r="Z74" s="540"/>
      <c r="AB74" s="3" t="s">
        <v>42</v>
      </c>
      <c r="AC74" s="3" t="s">
        <v>32</v>
      </c>
      <c r="AD74" s="3" t="s">
        <v>40</v>
      </c>
      <c r="AE74" s="4" t="s">
        <v>47</v>
      </c>
      <c r="AF74" s="5" t="s">
        <v>6</v>
      </c>
      <c r="AG74" s="5" t="s">
        <v>44</v>
      </c>
    </row>
    <row r="75" spans="2:33" s="87" customFormat="1" ht="18" customHeight="1">
      <c r="B75" s="83"/>
      <c r="C75" s="84" t="s">
        <v>7</v>
      </c>
      <c r="D75" s="84">
        <v>0</v>
      </c>
      <c r="E75" s="75">
        <v>1.65</v>
      </c>
      <c r="F75" s="75">
        <v>12</v>
      </c>
      <c r="G75" s="75"/>
      <c r="H75" s="75"/>
      <c r="I75" s="75">
        <v>1.55</v>
      </c>
      <c r="J75" s="75">
        <v>90</v>
      </c>
      <c r="K75" s="452">
        <f>100-2*$G$37</f>
        <v>90</v>
      </c>
      <c r="L75" s="533">
        <v>1.1</v>
      </c>
      <c r="M75" s="478">
        <f>IF(ISBLANK(L75),"",1/L75)</f>
        <v>0.9090909090909091</v>
      </c>
      <c r="N75" s="481">
        <f>EXP(AG75)</f>
        <v>3.0657894736842106</v>
      </c>
      <c r="O75" s="481">
        <f>EXP(AG75-TINV((100-K75)/100,AF75)*AE75)</f>
        <v>1.3342632037240838</v>
      </c>
      <c r="P75" s="481">
        <f>EXP(AG75+TINV((100-K75)/100,AF75)*AE75)</f>
        <v>7.0443860482092475</v>
      </c>
      <c r="Q75" s="502">
        <f>SQRT(P75/O75)</f>
        <v>2.297739655209883</v>
      </c>
      <c r="R75" s="471" t="str">
        <f>IF(T75&lt;$I$37,IF(MAX(V75,X75)=V75,V76&amp;" trivial; don't use",X76&amp;" harmful; don't use"),IF(X75&lt;$E$37,T76&amp;" beneficial; consider using","unclear; don't use; get more data"))</f>
        <v>unclear; don't use; get more data</v>
      </c>
      <c r="S75" s="471" t="str">
        <f>IF(MIN(T75,X75)&gt;$G$37,"unclear; get more data",IF(MAX(T75,V75,X75)=T75,T76&amp;" "&amp;L74,IF(MAX(T75,V75,X75)=V75,V76&amp;" trivial",X76&amp;" "&amp;M74)))</f>
        <v>very likely &gt;</v>
      </c>
      <c r="T75" s="126">
        <f>100*IF(LN(L75)&gt;0,IF(AG75-LN(L75)&gt;0,1-TDIST((AG75-LN(L75))/AE75,AF75,1),TDIST((LN(L75)-AG75)/AE75,AF75,1)),IF(AG75-LN(L75)&gt;0,TDIST((AG75-LN(L75))/AE75,AF75,1),1-TDIST((LN(L75)-AG75)/AE75,AF75,1)))</f>
        <v>97.59672096214601</v>
      </c>
      <c r="U75" s="127" t="s">
        <v>65</v>
      </c>
      <c r="V75" s="126">
        <f>100-T75-X75</f>
        <v>1.2770062387168664</v>
      </c>
      <c r="W75" s="127" t="s">
        <v>65</v>
      </c>
      <c r="X75" s="126">
        <f>100*IF(LN(M75)&gt;0,IF(AG75-LN(M75)&gt;0,1-TDIST((AG75-LN(M75))/AE75,AF75,1),TDIST((LN(M75)-AG75)/AE75,AF75,1)),IF(AG75-LN(M75)&gt;0,TDIST((AG75-LN(M75))/AE75,AF75,1),1-TDIST((LN(M75)-AG75)/AE75,AF75,1)))</f>
        <v>1.126272799137125</v>
      </c>
      <c r="Y75" s="127" t="s">
        <v>65</v>
      </c>
      <c r="Z75" s="183">
        <f>T75/(100-T75)/(X75/(100-X75))</f>
        <v>3565.072272994844</v>
      </c>
      <c r="AB75" s="72">
        <f aca="true" t="shared" si="4" ref="AB75:AB80">IF(ISNUMBER(E75),LN(IF(ISNUMBER(I75),I75,SQRT(H75/G75)))/TINV(1-J75/100,F75),"")</f>
        <v>0.2458946254447089</v>
      </c>
      <c r="AC75" s="86">
        <f aca="true" t="shared" si="5" ref="AC75:AC80">IF(ISBLANK(E75),"",1/F75)</f>
        <v>0.08333333333333333</v>
      </c>
      <c r="AD75" s="72">
        <f aca="true" t="shared" si="6" ref="AD75:AD80">IF(ISBLANK(E75),"",LN(E75))</f>
        <v>0.5007752879124892</v>
      </c>
      <c r="AE75" s="492">
        <f>SQRT(SUMPRODUCT(AB75:AB80,AB75:AB80,D75:D80,D75:D80))</f>
        <v>0.4697668941091074</v>
      </c>
      <c r="AF75" s="491">
        <f>SUMPRODUCT(AB75:AB80,AB75:AB80,D75:D80,D75:D80)^2/SUMPRODUCT(AB75:AB80,AB75:AB80,AB75:AB80,AB75:AB80,D75:D80,D75:D80,D75:D80,D75:D80,AC75:AC80)</f>
        <v>13.913468652123473</v>
      </c>
      <c r="AG75" s="492">
        <f>SUMPRODUCT(D75:D80,AD75:AD80)</f>
        <v>1.1203051132793695</v>
      </c>
    </row>
    <row r="76" spans="2:33" s="87" customFormat="1" ht="18" customHeight="1">
      <c r="B76" s="83"/>
      <c r="C76" s="84" t="s">
        <v>8</v>
      </c>
      <c r="D76" s="84">
        <v>1</v>
      </c>
      <c r="E76" s="75">
        <v>2.33</v>
      </c>
      <c r="F76" s="75">
        <v>9</v>
      </c>
      <c r="G76" s="75"/>
      <c r="H76" s="75"/>
      <c r="I76" s="75">
        <v>2.13</v>
      </c>
      <c r="J76" s="88">
        <f>J75</f>
        <v>90</v>
      </c>
      <c r="K76" s="453"/>
      <c r="L76" s="534"/>
      <c r="M76" s="479"/>
      <c r="N76" s="482"/>
      <c r="O76" s="541"/>
      <c r="P76" s="541"/>
      <c r="Q76" s="547"/>
      <c r="R76" s="472"/>
      <c r="S76" s="472"/>
      <c r="T76" s="493" t="str">
        <f>IF(T75&lt;$E$37,$D$37,IF(T75&lt;$G$37,$F$37,IF(T75&lt;$I$37,$H$37,IF(T75&lt;$K$37,$J$37,IF(T75&lt;$M$37,$L$37,IF(T75&lt;$O$37,$N$37,$P$37))))))</f>
        <v>very likely</v>
      </c>
      <c r="U76" s="494"/>
      <c r="V76" s="493" t="str">
        <f>IF(V75&lt;$E$37,$D$37,IF(V75&lt;$G$37,$F$37,IF(V75&lt;$I$37,$H$37,IF(V75&lt;$K$37,$J$37,IF(V75&lt;$M$37,$L$37,IF(V75&lt;$O$37,$N$37,$P$37))))))</f>
        <v>very unlikely</v>
      </c>
      <c r="W76" s="494"/>
      <c r="X76" s="493" t="str">
        <f>IF(X75&lt;$E$37,$D$37,IF(X75&lt;$G$37,$F$37,IF(X75&lt;$I$37,$H$37,IF(X75&lt;$K$37,$J$37,IF(X75&lt;$M$37,$L$37,IF(X75&lt;$O$37,$N$37,$P$37))))))</f>
        <v>very unlikely</v>
      </c>
      <c r="Y76" s="494"/>
      <c r="Z76" s="85"/>
      <c r="AB76" s="72">
        <f t="shared" si="4"/>
        <v>0.41247975847603097</v>
      </c>
      <c r="AC76" s="86">
        <f t="shared" si="5"/>
        <v>0.1111111111111111</v>
      </c>
      <c r="AD76" s="72">
        <f t="shared" si="6"/>
        <v>0.8458682675776092</v>
      </c>
      <c r="AE76" s="492"/>
      <c r="AF76" s="491"/>
      <c r="AG76" s="492"/>
    </row>
    <row r="77" spans="2:33" s="87" customFormat="1" ht="18" customHeight="1">
      <c r="B77" s="83"/>
      <c r="C77" s="84" t="s">
        <v>34</v>
      </c>
      <c r="D77" s="84">
        <v>0</v>
      </c>
      <c r="E77" s="75">
        <v>1.16</v>
      </c>
      <c r="F77" s="75">
        <v>10</v>
      </c>
      <c r="G77" s="75"/>
      <c r="H77" s="75"/>
      <c r="I77" s="75">
        <v>1.68</v>
      </c>
      <c r="J77" s="88">
        <f>J76</f>
        <v>90</v>
      </c>
      <c r="K77" s="89"/>
      <c r="L77" s="89"/>
      <c r="M77" s="89"/>
      <c r="N77" s="114" t="s">
        <v>35</v>
      </c>
      <c r="O77" s="115"/>
      <c r="P77" s="116"/>
      <c r="Q77" s="116"/>
      <c r="R77" s="201" t="str">
        <f>IF(AND(X75&gt;$E$37,Z75&gt;$I$37/$K$37/($E$37/$O$37)),"Less conservative clinical: '"&amp;T76&amp;" beneficial, consider using' because odds ratio is &gt;"&amp;ROUND($I$37/$K$37/($E$37/$O$37),1)&amp;".","")</f>
        <v>Less conservative clinical: 'very likely beneficial, consider using' because odds ratio is &gt;66.3.</v>
      </c>
      <c r="S77" s="116"/>
      <c r="T77" s="116"/>
      <c r="U77" s="116"/>
      <c r="V77" s="116"/>
      <c r="W77" s="116"/>
      <c r="X77" s="116"/>
      <c r="Y77" s="117"/>
      <c r="Z77" s="85"/>
      <c r="AB77" s="72">
        <f t="shared" si="4"/>
        <v>0.2862371980759296</v>
      </c>
      <c r="AC77" s="86">
        <f t="shared" si="5"/>
        <v>0.1</v>
      </c>
      <c r="AD77" s="72">
        <f t="shared" si="6"/>
        <v>0.14842000511827322</v>
      </c>
      <c r="AE77" s="118" t="s">
        <v>47</v>
      </c>
      <c r="AF77" s="119" t="s">
        <v>6</v>
      </c>
      <c r="AG77" s="119" t="s">
        <v>46</v>
      </c>
    </row>
    <row r="78" spans="2:33" s="87" customFormat="1" ht="18" customHeight="1">
      <c r="B78" s="83"/>
      <c r="C78" s="84" t="s">
        <v>37</v>
      </c>
      <c r="D78" s="84">
        <v>-1</v>
      </c>
      <c r="E78" s="75">
        <v>0.76</v>
      </c>
      <c r="F78" s="75">
        <v>9</v>
      </c>
      <c r="G78" s="75"/>
      <c r="H78" s="75"/>
      <c r="I78" s="75">
        <v>1.51</v>
      </c>
      <c r="J78" s="88">
        <f>J77</f>
        <v>90</v>
      </c>
      <c r="K78" s="89"/>
      <c r="L78" s="89"/>
      <c r="M78" s="89"/>
      <c r="N78" s="485">
        <f>EXP(AG78)</f>
        <v>1.3568375739364769</v>
      </c>
      <c r="O78" s="544">
        <f>EXP(AG78-TINV((100-K75)/100,AF78)*AE78)</f>
        <v>1.0504312447723871</v>
      </c>
      <c r="P78" s="544">
        <f>EXP(AG78+TINV((100-K75)/100,AF78)*AE78)</f>
        <v>1.7526213269148745</v>
      </c>
      <c r="Q78" s="545">
        <f>SQRT(P78/O78)</f>
        <v>1.2916957494257355</v>
      </c>
      <c r="R78" s="546" t="str">
        <f>IF(T78&lt;$I$37,IF(MAX(V78,X78)=V78,V79&amp;" trivial; don't use",X79&amp;" harmful; don't use"),IF(X78&lt;$E$37,T79&amp;" beneficial; consider using","unclear; don't use; get more data"))</f>
        <v>unclear; don't use; get more data</v>
      </c>
      <c r="S78" s="546" t="str">
        <f>IF(MIN(T78,X78)&gt;$G$37,"unclear; get more data",IF(MAX(T78,V78,X78)=T78,T79&amp;" "&amp;L74,IF(MAX(T78,V78,X78)=V78,V79&amp;" trivial",X79&amp;" "&amp;M74)))</f>
        <v>likely &gt;</v>
      </c>
      <c r="T78" s="199">
        <f>100*IF(LN(L75)&gt;0,IF(AG78-LN(L75)&gt;0,1-TDIST((AG78-LN(L75))/AE78,AF78,1),TDIST((LN(L75)-AG78)/AE78,AF78,1)),IF(AG78-LN(L75)&gt;0,TDIST((AG78-LN(L75))/AE78,AF78,1),1-TDIST((LN(L75)-AG78)/AE78,AF78,1)))</f>
        <v>91.29018615291139</v>
      </c>
      <c r="U78" s="200" t="s">
        <v>65</v>
      </c>
      <c r="V78" s="199">
        <f>100-T78-X78</f>
        <v>8.077716119800726</v>
      </c>
      <c r="W78" s="200" t="s">
        <v>65</v>
      </c>
      <c r="X78" s="199">
        <f>100*IF(LN(M75)&gt;0,IF(AG78-LN(M75)&gt;0,1-TDIST((AG78-LN(M75))/AE78,AF78,1),TDIST((LN(M75)-AG78)/AE78,AF78,1)),IF(AG78-LN(M75)&gt;0,TDIST((AG78-LN(M75))/AE78,AF78,1),1-TDIST((LN(M75)-AG78)/AE78,AF78,1)))</f>
        <v>0.6320977272878857</v>
      </c>
      <c r="Y78" s="200" t="s">
        <v>65</v>
      </c>
      <c r="Z78" s="182">
        <f>T78/(100-T78)/(X78/(100-X78))</f>
        <v>1647.6960951069145</v>
      </c>
      <c r="AB78" s="72">
        <f t="shared" si="4"/>
        <v>0.22481410909565366</v>
      </c>
      <c r="AC78" s="86">
        <f t="shared" si="5"/>
        <v>0.1111111111111111</v>
      </c>
      <c r="AD78" s="72">
        <f t="shared" si="6"/>
        <v>-0.2744368457017603</v>
      </c>
      <c r="AE78" s="474">
        <f>SQRT(SUMPRODUCT(AB75:AB80,AB75:AB80))/COUNT(E75:E80)</f>
        <v>0.15063964351762413</v>
      </c>
      <c r="AF78" s="491">
        <f>SUMPRODUCT(AB75:AB80,AB75:AB80)^2/SUMPRODUCT(AB75:AB80,AB75:AB80,AB75:AB80,AB75:AB80,AC75:AC80)</f>
        <v>29.450475456929915</v>
      </c>
      <c r="AG78" s="492">
        <f>AVERAGE(AD75:AD80)</f>
        <v>0.3051566787266528</v>
      </c>
    </row>
    <row r="79" spans="2:33" s="87" customFormat="1" ht="18" customHeight="1">
      <c r="B79" s="83"/>
      <c r="C79" s="84" t="s">
        <v>38</v>
      </c>
      <c r="D79" s="84"/>
      <c r="E79" s="75"/>
      <c r="F79" s="75"/>
      <c r="G79" s="75"/>
      <c r="H79" s="75"/>
      <c r="I79" s="75"/>
      <c r="J79" s="88">
        <f>J78</f>
        <v>90</v>
      </c>
      <c r="K79" s="89"/>
      <c r="L79" s="89"/>
      <c r="M79" s="89"/>
      <c r="N79" s="486"/>
      <c r="O79" s="486"/>
      <c r="P79" s="486"/>
      <c r="Q79" s="536"/>
      <c r="R79" s="546"/>
      <c r="S79" s="475"/>
      <c r="T79" s="489" t="str">
        <f>IF(T78&lt;$E$37,$D$37,IF(T78&lt;$G$37,$F$37,IF(T78&lt;$I$37,$H$37,IF(T78&lt;$K$37,$J$37,IF(T78&lt;$M$37,$L$37,IF(T78&lt;$O$37,$N$37,$P$37))))))</f>
        <v>likely</v>
      </c>
      <c r="U79" s="490"/>
      <c r="V79" s="489" t="str">
        <f>IF(V78&lt;$E$37,$D$37,IF(V78&lt;$G$37,$F$37,IF(V78&lt;$I$37,$H$37,IF(V78&lt;$K$37,$J$37,IF(V78&lt;$M$37,$L$37,IF(V78&lt;$O$37,$N$37,$P$37))))))</f>
        <v>unlikely</v>
      </c>
      <c r="W79" s="490"/>
      <c r="X79" s="489" t="str">
        <f>IF(X78&lt;$E$37,$D$37,IF(X78&lt;$G$37,$F$37,IF(X78&lt;$I$37,$H$37,IF(X78&lt;$K$37,$J$37,IF(X78&lt;$M$37,$L$37,IF(X78&lt;$O$37,$N$37,$P$37))))))</f>
        <v>very unlikely</v>
      </c>
      <c r="Y79" s="490"/>
      <c r="Z79" s="85"/>
      <c r="AB79" s="72">
        <f t="shared" si="4"/>
      </c>
      <c r="AC79" s="86">
        <f t="shared" si="5"/>
      </c>
      <c r="AD79" s="72">
        <f t="shared" si="6"/>
      </c>
      <c r="AE79" s="474"/>
      <c r="AF79" s="491"/>
      <c r="AG79" s="492"/>
    </row>
    <row r="80" spans="2:33" s="87" customFormat="1" ht="18" customHeight="1">
      <c r="B80" s="83"/>
      <c r="C80" s="84" t="s">
        <v>39</v>
      </c>
      <c r="D80" s="84"/>
      <c r="E80" s="75"/>
      <c r="F80" s="75"/>
      <c r="G80" s="75"/>
      <c r="H80" s="75"/>
      <c r="I80" s="75"/>
      <c r="J80" s="88">
        <f>J79</f>
        <v>90</v>
      </c>
      <c r="K80" s="89"/>
      <c r="L80" s="89"/>
      <c r="M80" s="89"/>
      <c r="N80" s="120"/>
      <c r="O80" s="120"/>
      <c r="P80" s="120"/>
      <c r="Q80" s="120"/>
      <c r="R80" s="201" t="str">
        <f>IF(AND(X78&gt;$E$37,Z78&gt;$I$37/$K$37/($E$37/$O$37)),"Less conservative clinical: '"&amp;T79&amp;" beneficial, consider using' because odds ratio is &gt;"&amp;ROUND($I$37/$K$37/($E$37/$O$37),1)&amp;".","")</f>
        <v>Less conservative clinical: 'likely beneficial, consider using' because odds ratio is &gt;66.3.</v>
      </c>
      <c r="S80" s="436"/>
      <c r="T80" s="436"/>
      <c r="U80" s="436"/>
      <c r="V80" s="436"/>
      <c r="W80" s="436"/>
      <c r="X80" s="436"/>
      <c r="Y80" s="436"/>
      <c r="Z80" s="85"/>
      <c r="AB80" s="72">
        <f t="shared" si="4"/>
      </c>
      <c r="AC80" s="86">
        <f t="shared" si="5"/>
      </c>
      <c r="AD80" s="72">
        <f t="shared" si="6"/>
      </c>
      <c r="AE80" s="66"/>
      <c r="AF80" s="67"/>
      <c r="AG80" s="66"/>
    </row>
    <row r="81" spans="2:30" ht="13.5" customHeight="1" thickBot="1">
      <c r="B81" s="44"/>
      <c r="C81" s="55"/>
      <c r="D81" s="68" t="str">
        <f>IF(AND(COUNTIF(D75:D80,"=1")=SUM(D75:D80),SUM(D75:D80)&gt;1),"Decision is for the addition (simultaneous use) of effects marked with 1s",IF(SUMPRODUCT(D75:D80,D75:D80)&gt;2,"ERROR: bad weights",IF(OR(SUM(D75:D80)=1,SUM(D75:D80)=0),"Good weights","ERROR: weights do not add to 1 or 0")))</f>
        <v>Good weights</v>
      </c>
      <c r="E81" s="34"/>
      <c r="F81" s="34"/>
      <c r="G81" s="34"/>
      <c r="H81" s="34"/>
      <c r="I81" s="34"/>
      <c r="J81" s="34"/>
      <c r="K81" s="34"/>
      <c r="L81" s="34"/>
      <c r="M81" s="34"/>
      <c r="N81" s="34"/>
      <c r="O81" s="34"/>
      <c r="P81" s="34"/>
      <c r="Q81" s="34"/>
      <c r="R81" s="34"/>
      <c r="S81" s="34"/>
      <c r="T81" s="34"/>
      <c r="U81" s="34"/>
      <c r="V81" s="34"/>
      <c r="W81" s="34"/>
      <c r="X81" s="34"/>
      <c r="Y81" s="34"/>
      <c r="Z81" s="45"/>
      <c r="AB81" s="13"/>
      <c r="AC81" s="13"/>
      <c r="AD81" s="13"/>
    </row>
    <row r="82" spans="2:30" ht="13.5" customHeight="1">
      <c r="B82" s="207"/>
      <c r="C82" s="208"/>
      <c r="D82" s="226"/>
      <c r="E82" s="209"/>
      <c r="F82" s="209"/>
      <c r="G82" s="209"/>
      <c r="H82" s="209"/>
      <c r="I82" s="209"/>
      <c r="J82" s="209"/>
      <c r="K82" s="209"/>
      <c r="L82" s="209"/>
      <c r="M82" s="209"/>
      <c r="N82" s="209"/>
      <c r="O82" s="209"/>
      <c r="P82" s="209"/>
      <c r="Q82" s="209"/>
      <c r="R82" s="209"/>
      <c r="S82" s="209"/>
      <c r="T82" s="209"/>
      <c r="U82" s="209"/>
      <c r="V82" s="209"/>
      <c r="W82" s="209"/>
      <c r="X82" s="209"/>
      <c r="Y82" s="209"/>
      <c r="Z82" s="211"/>
      <c r="AB82" s="13"/>
      <c r="AC82" s="13"/>
      <c r="AD82" s="13"/>
    </row>
    <row r="83" spans="2:30" ht="12.75" customHeight="1">
      <c r="B83" s="44"/>
      <c r="C83" s="446" t="s">
        <v>133</v>
      </c>
      <c r="D83" s="447"/>
      <c r="E83" s="447"/>
      <c r="F83" s="447"/>
      <c r="G83" s="447"/>
      <c r="H83" s="447"/>
      <c r="I83" s="447"/>
      <c r="J83" s="448"/>
      <c r="K83" s="35"/>
      <c r="L83" s="497" t="s">
        <v>122</v>
      </c>
      <c r="M83" s="498"/>
      <c r="N83" s="446" t="s">
        <v>99</v>
      </c>
      <c r="O83" s="447"/>
      <c r="P83" s="447"/>
      <c r="Q83" s="447"/>
      <c r="R83" s="447"/>
      <c r="S83" s="448"/>
      <c r="T83" s="516" t="s">
        <v>64</v>
      </c>
      <c r="U83" s="517"/>
      <c r="V83" s="517"/>
      <c r="W83" s="517"/>
      <c r="X83" s="517"/>
      <c r="Y83" s="518"/>
      <c r="Z83" s="45"/>
      <c r="AB83" s="1"/>
      <c r="AC83" s="1"/>
      <c r="AD83" s="1"/>
    </row>
    <row r="84" spans="2:30" ht="12.75" customHeight="1">
      <c r="B84" s="44"/>
      <c r="C84" s="449" t="s">
        <v>18</v>
      </c>
      <c r="D84" s="542" t="s">
        <v>41</v>
      </c>
      <c r="E84" s="456" t="s">
        <v>52</v>
      </c>
      <c r="F84" s="468" t="s">
        <v>21</v>
      </c>
      <c r="G84" s="458" t="s">
        <v>159</v>
      </c>
      <c r="H84" s="459"/>
      <c r="I84" s="460"/>
      <c r="J84" s="463" t="s">
        <v>185</v>
      </c>
      <c r="K84" s="463"/>
      <c r="L84" s="101" t="s">
        <v>72</v>
      </c>
      <c r="M84" s="100" t="s">
        <v>71</v>
      </c>
      <c r="N84" s="23" t="s">
        <v>19</v>
      </c>
      <c r="O84" s="26" t="str">
        <f>K86&amp;"% compatibility limits"</f>
        <v>90% compatibility limits</v>
      </c>
      <c r="P84" s="27"/>
      <c r="Q84" s="28"/>
      <c r="R84" s="497" t="s">
        <v>162</v>
      </c>
      <c r="S84" s="498"/>
      <c r="T84" s="504" t="str">
        <f>"...beneficial or
substantially "&amp;L85</f>
        <v>...beneficial or
substantially ???</v>
      </c>
      <c r="U84" s="505"/>
      <c r="V84" s="508" t="s">
        <v>70</v>
      </c>
      <c r="W84" s="509"/>
      <c r="X84" s="512" t="str">
        <f>"...harmful or 
substantially "&amp;M85</f>
        <v>...harmful or 
substantially ???</v>
      </c>
      <c r="Y84" s="513"/>
      <c r="Z84" s="461" t="s">
        <v>125</v>
      </c>
      <c r="AB84" s="1"/>
      <c r="AC84" s="1"/>
      <c r="AD84" s="1"/>
    </row>
    <row r="85" spans="2:33" ht="13.5" customHeight="1">
      <c r="B85" s="44"/>
      <c r="C85" s="449"/>
      <c r="D85" s="543"/>
      <c r="E85" s="457"/>
      <c r="F85" s="467"/>
      <c r="G85" s="38" t="s">
        <v>15</v>
      </c>
      <c r="H85" s="39" t="s">
        <v>16</v>
      </c>
      <c r="I85" s="37" t="s">
        <v>96</v>
      </c>
      <c r="J85" s="36" t="s">
        <v>3</v>
      </c>
      <c r="K85" s="25" t="s">
        <v>20</v>
      </c>
      <c r="L85" s="123" t="str">
        <f>IF(ISBLANK(L86),"???",IF(L86&lt;1,"&lt;","&gt;"))</f>
        <v>???</v>
      </c>
      <c r="M85" s="124" t="str">
        <f>IF(TYPE(M86)=2,"???",IF(M86&lt;1,"&lt;","&gt;"))</f>
        <v>???</v>
      </c>
      <c r="N85" s="19" t="s">
        <v>31</v>
      </c>
      <c r="O85" s="25" t="s">
        <v>0</v>
      </c>
      <c r="P85" s="25" t="s">
        <v>1</v>
      </c>
      <c r="Q85" s="16" t="s">
        <v>14</v>
      </c>
      <c r="R85" s="82" t="s">
        <v>66</v>
      </c>
      <c r="S85" s="74" t="s">
        <v>138</v>
      </c>
      <c r="T85" s="506"/>
      <c r="U85" s="507"/>
      <c r="V85" s="531"/>
      <c r="W85" s="532"/>
      <c r="X85" s="529"/>
      <c r="Y85" s="530"/>
      <c r="Z85" s="462"/>
      <c r="AB85" s="3" t="s">
        <v>42</v>
      </c>
      <c r="AC85" s="3" t="s">
        <v>32</v>
      </c>
      <c r="AD85" s="3" t="s">
        <v>40</v>
      </c>
      <c r="AE85" s="4" t="s">
        <v>47</v>
      </c>
      <c r="AF85" s="5" t="s">
        <v>6</v>
      </c>
      <c r="AG85" s="5" t="s">
        <v>44</v>
      </c>
    </row>
    <row r="86" spans="2:33" s="87" customFormat="1" ht="18" customHeight="1">
      <c r="B86" s="83"/>
      <c r="C86" s="84" t="s">
        <v>7</v>
      </c>
      <c r="D86" s="84"/>
      <c r="E86" s="75"/>
      <c r="F86" s="75"/>
      <c r="G86" s="75"/>
      <c r="H86" s="75"/>
      <c r="I86" s="75"/>
      <c r="J86" s="75">
        <v>90</v>
      </c>
      <c r="K86" s="452">
        <f>100-2*$G$37</f>
        <v>90</v>
      </c>
      <c r="L86" s="533"/>
      <c r="M86" s="478">
        <f>IF(ISBLANK(L86),"",1/L86)</f>
      </c>
      <c r="N86" s="481">
        <f>EXP(AG86)</f>
        <v>1</v>
      </c>
      <c r="O86" s="481" t="e">
        <f>EXP(AG86-TINV((100-K86)/100,AF86)*AE86)</f>
        <v>#DIV/0!</v>
      </c>
      <c r="P86" s="481" t="e">
        <f>EXP(AG86+TINV((100-K86)/100,AF86)*AE86)</f>
        <v>#DIV/0!</v>
      </c>
      <c r="Q86" s="502" t="e">
        <f>SQRT(P86/O86)</f>
        <v>#DIV/0!</v>
      </c>
      <c r="R86" s="471" t="e">
        <f>IF(T86&lt;$I$37,IF(MAX(V86,X86)=V86,V87&amp;" trivial; don't use",X87&amp;" harmful; don't use"),IF(X86&lt;$E$37,T87&amp;" beneficial; consider using","unclear; don't use; get more data"))</f>
        <v>#NUM!</v>
      </c>
      <c r="S86" s="471" t="e">
        <f>IF(MIN(T86,X86)&gt;$G$37,"unclear; get more data",IF(MAX(T86,V86,X86)=T86,T87&amp;" "&amp;L85,IF(MAX(T86,V86,X86)=V86,V87&amp;" trivial",X87&amp;" "&amp;M85)))</f>
        <v>#NUM!</v>
      </c>
      <c r="T86" s="126" t="e">
        <f>100*IF(LN(L86)&gt;0,IF(AG86-LN(L86)&gt;0,1-TDIST((AG86-LN(L86))/AE86,AF86,1),TDIST((LN(L86)-AG86)/AE86,AF86,1)),IF(AG86-LN(L86)&gt;0,TDIST((AG86-LN(L86))/AE86,AF86,1),1-TDIST((LN(L86)-AG86)/AE86,AF86,1)))</f>
        <v>#NUM!</v>
      </c>
      <c r="U86" s="127" t="s">
        <v>65</v>
      </c>
      <c r="V86" s="126" t="e">
        <f>100-T86-X86</f>
        <v>#NUM!</v>
      </c>
      <c r="W86" s="127" t="s">
        <v>65</v>
      </c>
      <c r="X86" s="126" t="e">
        <f>100*IF(LN(M86)&gt;0,IF(AG86-LN(M86)&gt;0,1-TDIST((AG86-LN(M86))/AE86,AF86,1),TDIST((LN(M86)-AG86)/AE86,AF86,1)),IF(AG86-LN(M86)&gt;0,TDIST((AG86-LN(M86))/AE86,AF86,1),1-TDIST((LN(M86)-AG86)/AE86,AF86,1)))</f>
        <v>#VALUE!</v>
      </c>
      <c r="Y86" s="127" t="s">
        <v>65</v>
      </c>
      <c r="Z86" s="185" t="e">
        <f>T86/(100-T86)/(X86/(100-X86))</f>
        <v>#NUM!</v>
      </c>
      <c r="AB86" s="72">
        <f aca="true" t="shared" si="7" ref="AB86:AB91">IF(ISNUMBER(E86),LN(IF(ISNUMBER(I86),I86,SQRT(H86/G86)))/TINV(1-J86/100,F86),"")</f>
      </c>
      <c r="AC86" s="86">
        <f aca="true" t="shared" si="8" ref="AC86:AC91">IF(ISBLANK(E86),"",1/F86)</f>
      </c>
      <c r="AD86" s="72">
        <f aca="true" t="shared" si="9" ref="AD86:AD91">IF(ISBLANK(E86),"",LN(E86))</f>
      </c>
      <c r="AE86" s="492">
        <f>SQRT(SUMPRODUCT(AB86:AB91,AB86:AB91,D86:D91,D86:D91))</f>
        <v>0</v>
      </c>
      <c r="AF86" s="491" t="e">
        <f>SUMPRODUCT(AB86:AB91,AB86:AB91,D86:D91,D86:D91)^2/SUMPRODUCT(AB86:AB91,AB86:AB91,AB86:AB91,AB86:AB91,D86:D91,D86:D91,D86:D91,D86:D91,AC86:AC91)</f>
        <v>#DIV/0!</v>
      </c>
      <c r="AG86" s="492">
        <f>SUMPRODUCT(D86:D91,AD86:AD91)</f>
        <v>0</v>
      </c>
    </row>
    <row r="87" spans="2:33" s="87" customFormat="1" ht="18" customHeight="1">
      <c r="B87" s="83"/>
      <c r="C87" s="84" t="s">
        <v>8</v>
      </c>
      <c r="D87" s="84"/>
      <c r="E87" s="75"/>
      <c r="F87" s="75"/>
      <c r="G87" s="75"/>
      <c r="H87" s="75"/>
      <c r="I87" s="75"/>
      <c r="J87" s="88">
        <f>J86</f>
        <v>90</v>
      </c>
      <c r="K87" s="453"/>
      <c r="L87" s="534"/>
      <c r="M87" s="479"/>
      <c r="N87" s="482"/>
      <c r="O87" s="482"/>
      <c r="P87" s="482"/>
      <c r="Q87" s="503"/>
      <c r="R87" s="472"/>
      <c r="S87" s="472"/>
      <c r="T87" s="499" t="e">
        <f>IF(T86&lt;$E$37,$D$37,IF(T86&lt;$G$37,$F$37,IF(T86&lt;$I$37,$H$37,IF(T86&lt;$K$37,$J$37,IF(T86&lt;$M$37,$L$37,IF(T86&lt;$O$37,$N$37,$P$37))))))</f>
        <v>#NUM!</v>
      </c>
      <c r="U87" s="500"/>
      <c r="V87" s="499" t="e">
        <f>IF(V86&lt;$E$37,$D$37,IF(V86&lt;$G$37,$F$37,IF(V86&lt;$I$37,$H$37,IF(V86&lt;$K$37,$J$37,IF(V86&lt;$M$37,$L$37,IF(V86&lt;$O$37,$N$37,$P$37))))))</f>
        <v>#NUM!</v>
      </c>
      <c r="W87" s="500"/>
      <c r="X87" s="499" t="e">
        <f>IF(X86&lt;$E$37,$D$37,IF(X86&lt;$G$37,$F$37,IF(X86&lt;$I$37,$H$37,IF(X86&lt;$K$37,$J$37,IF(X86&lt;$M$37,$L$37,IF(X86&lt;$O$37,$N$37,$P$37))))))</f>
        <v>#VALUE!</v>
      </c>
      <c r="Y87" s="500"/>
      <c r="Z87" s="85"/>
      <c r="AB87" s="72">
        <f t="shared" si="7"/>
      </c>
      <c r="AC87" s="86">
        <f t="shared" si="8"/>
      </c>
      <c r="AD87" s="72">
        <f t="shared" si="9"/>
      </c>
      <c r="AE87" s="492"/>
      <c r="AF87" s="491"/>
      <c r="AG87" s="492"/>
    </row>
    <row r="88" spans="2:33" s="87" customFormat="1" ht="18" customHeight="1">
      <c r="B88" s="83"/>
      <c r="C88" s="84" t="s">
        <v>34</v>
      </c>
      <c r="D88" s="84"/>
      <c r="E88" s="75"/>
      <c r="F88" s="75"/>
      <c r="G88" s="75"/>
      <c r="H88" s="75"/>
      <c r="I88" s="75"/>
      <c r="J88" s="88">
        <f>J87</f>
        <v>90</v>
      </c>
      <c r="K88" s="89"/>
      <c r="L88" s="89"/>
      <c r="M88" s="89"/>
      <c r="N88" s="114" t="s">
        <v>35</v>
      </c>
      <c r="O88" s="115"/>
      <c r="P88" s="116"/>
      <c r="Q88" s="116"/>
      <c r="R88" s="201" t="e">
        <f>IF(AND(X86&gt;$E$37,Z86&gt;$I$37/$K$37/($E$37/$O$37)),"Less conservative clinical: '"&amp;T87&amp;" beneficial, consider using' because odds ratio is &gt;"&amp;ROUND($I$37/$K$37/($E$37/$O$37),1)&amp;".","")</f>
        <v>#VALUE!</v>
      </c>
      <c r="S88" s="116"/>
      <c r="T88" s="116"/>
      <c r="U88" s="116"/>
      <c r="V88" s="116"/>
      <c r="W88" s="116"/>
      <c r="X88" s="116"/>
      <c r="Y88" s="117"/>
      <c r="Z88" s="85"/>
      <c r="AB88" s="72">
        <f t="shared" si="7"/>
      </c>
      <c r="AC88" s="86">
        <f t="shared" si="8"/>
      </c>
      <c r="AD88" s="72">
        <f t="shared" si="9"/>
      </c>
      <c r="AE88" s="118" t="s">
        <v>47</v>
      </c>
      <c r="AF88" s="119" t="s">
        <v>6</v>
      </c>
      <c r="AG88" s="119" t="s">
        <v>46</v>
      </c>
    </row>
    <row r="89" spans="2:33" s="87" customFormat="1" ht="18" customHeight="1">
      <c r="B89" s="83"/>
      <c r="C89" s="84" t="s">
        <v>37</v>
      </c>
      <c r="D89" s="84"/>
      <c r="E89" s="75"/>
      <c r="F89" s="75"/>
      <c r="G89" s="75"/>
      <c r="H89" s="75"/>
      <c r="I89" s="75"/>
      <c r="J89" s="88">
        <f>J88</f>
        <v>90</v>
      </c>
      <c r="K89" s="89"/>
      <c r="L89" s="89"/>
      <c r="M89" s="89"/>
      <c r="N89" s="485" t="e">
        <f>EXP(AG89)</f>
        <v>#DIV/0!</v>
      </c>
      <c r="O89" s="485" t="e">
        <f>EXP(AG89-TINV((100-K86)/100,AF89)*AE89)</f>
        <v>#DIV/0!</v>
      </c>
      <c r="P89" s="485" t="e">
        <f>EXP(AG89+TINV((100-K86)/100,AF89)*AE89)</f>
        <v>#DIV/0!</v>
      </c>
      <c r="Q89" s="535" t="e">
        <f>SQRT(P89/O89)</f>
        <v>#DIV/0!</v>
      </c>
      <c r="R89" s="501" t="e">
        <f>IF(T89&lt;$I$37,IF(MAX(V89,X89)=V89,V90&amp;" trivial; don't use",X90&amp;" harmful; don't use"),IF(X89&lt;$E$37,T90&amp;" beneficial; consider using","unclear; don't use; get more data"))</f>
        <v>#NUM!</v>
      </c>
      <c r="S89" s="501" t="e">
        <f>IF(MIN(T89,X89)&gt;$G$37,"unclear; get more data",IF(MAX(T89,V89,X89)=T89,T90&amp;" "&amp;L85,IF(MAX(T89,V89,X89)=V89,V90&amp;" trivial",X90&amp;" "&amp;M85)))</f>
        <v>#NUM!</v>
      </c>
      <c r="T89" s="128" t="e">
        <f>100*IF(LN(L86)&gt;0,IF(AG89-LN(L86)&gt;0,1-TDIST((AG89-LN(L86))/AE89,AF89,1),TDIST((LN(L86)-AG89)/AE89,AF89,1)),IF(AG89-LN(L86)&gt;0,TDIST((AG89-LN(L86))/AE89,AF89,1),1-TDIST((LN(L86)-AG89)/AE89,AF89,1)))</f>
        <v>#NUM!</v>
      </c>
      <c r="U89" s="129" t="s">
        <v>65</v>
      </c>
      <c r="V89" s="128" t="e">
        <f>100-T89-X89</f>
        <v>#NUM!</v>
      </c>
      <c r="W89" s="129" t="s">
        <v>65</v>
      </c>
      <c r="X89" s="128" t="e">
        <f>100*IF(LN(M86)&gt;0,IF(AG89-LN(M86)&gt;0,1-TDIST((AG89-LN(M86))/AE89,AF89,1),TDIST((LN(M86)-AG89)/AE89,AF89,1)),IF(AG89-LN(M86)&gt;0,TDIST((AG89-LN(M86))/AE89,AF89,1),1-TDIST((LN(M86)-AG89)/AE89,AF89,1)))</f>
        <v>#VALUE!</v>
      </c>
      <c r="Y89" s="129" t="s">
        <v>65</v>
      </c>
      <c r="Z89" s="186" t="e">
        <f>T89/(100-T89)/(X89/(100-X89))</f>
        <v>#NUM!</v>
      </c>
      <c r="AB89" s="72">
        <f t="shared" si="7"/>
      </c>
      <c r="AC89" s="86">
        <f t="shared" si="8"/>
      </c>
      <c r="AD89" s="72">
        <f t="shared" si="9"/>
      </c>
      <c r="AE89" s="474" t="e">
        <f>SQRT(SUMPRODUCT(AB86:AB91,AB86:AB91))/COUNT(E86:E91)</f>
        <v>#DIV/0!</v>
      </c>
      <c r="AF89" s="491" t="e">
        <f>SUMPRODUCT(AB86:AB91,AB86:AB91)^2/SUMPRODUCT(AB86:AB91,AB86:AB91,AB86:AB91,AB86:AB91,AC86:AC91)</f>
        <v>#DIV/0!</v>
      </c>
      <c r="AG89" s="492" t="e">
        <f>AVERAGE(AD86:AD91)</f>
        <v>#DIV/0!</v>
      </c>
    </row>
    <row r="90" spans="2:33" s="87" customFormat="1" ht="18" customHeight="1">
      <c r="B90" s="83"/>
      <c r="C90" s="84" t="s">
        <v>38</v>
      </c>
      <c r="D90" s="84"/>
      <c r="E90" s="75"/>
      <c r="F90" s="75"/>
      <c r="G90" s="75"/>
      <c r="H90" s="75"/>
      <c r="I90" s="75"/>
      <c r="J90" s="88">
        <f>J89</f>
        <v>90</v>
      </c>
      <c r="K90" s="89"/>
      <c r="L90" s="89"/>
      <c r="M90" s="89"/>
      <c r="N90" s="486"/>
      <c r="O90" s="486"/>
      <c r="P90" s="486"/>
      <c r="Q90" s="536"/>
      <c r="R90" s="475"/>
      <c r="S90" s="475"/>
      <c r="T90" s="489" t="e">
        <f>IF(T89&lt;$E$37,$D$37,IF(T89&lt;$G$37,$F$37,IF(T89&lt;$I$37,$H$37,IF(T89&lt;$K$37,$J$37,IF(T89&lt;$M$37,$L$37,IF(T89&lt;$O$37,$N$37,$P$37))))))</f>
        <v>#NUM!</v>
      </c>
      <c r="U90" s="490"/>
      <c r="V90" s="489" t="e">
        <f>IF(V89&lt;$E$37,$D$37,IF(V89&lt;$G$37,$F$37,IF(V89&lt;$I$37,$H$37,IF(V89&lt;$K$37,$J$37,IF(V89&lt;$M$37,$L$37,IF(V89&lt;$O$37,$N$37,$P$37))))))</f>
        <v>#NUM!</v>
      </c>
      <c r="W90" s="490"/>
      <c r="X90" s="489" t="e">
        <f>IF(X89&lt;$E$37,$D$37,IF(X89&lt;$G$37,$F$37,IF(X89&lt;$I$37,$H$37,IF(X89&lt;$K$37,$J$37,IF(X89&lt;$M$37,$L$37,IF(X89&lt;$O$37,$N$37,$P$37))))))</f>
        <v>#VALUE!</v>
      </c>
      <c r="Y90" s="490"/>
      <c r="Z90" s="85"/>
      <c r="AB90" s="72">
        <f t="shared" si="7"/>
      </c>
      <c r="AC90" s="86">
        <f t="shared" si="8"/>
      </c>
      <c r="AD90" s="72">
        <f t="shared" si="9"/>
      </c>
      <c r="AE90" s="474"/>
      <c r="AF90" s="491"/>
      <c r="AG90" s="492"/>
    </row>
    <row r="91" spans="2:33" s="87" customFormat="1" ht="18" customHeight="1">
      <c r="B91" s="83"/>
      <c r="C91" s="84" t="s">
        <v>39</v>
      </c>
      <c r="D91" s="84"/>
      <c r="E91" s="75"/>
      <c r="F91" s="75"/>
      <c r="G91" s="75"/>
      <c r="H91" s="75"/>
      <c r="I91" s="75"/>
      <c r="J91" s="88">
        <f>J90</f>
        <v>90</v>
      </c>
      <c r="K91" s="89"/>
      <c r="L91" s="89"/>
      <c r="M91" s="89"/>
      <c r="N91" s="120"/>
      <c r="O91" s="120"/>
      <c r="P91" s="120"/>
      <c r="Q91" s="120"/>
      <c r="R91" s="201" t="e">
        <f>IF(AND(X89&gt;$E$37,Z89&gt;$I$37/$K$37/($E$37/$O$37)),"Less conservative clinical: '"&amp;T90&amp;" beneficial, consider using' because odds ratio is &gt;"&amp;ROUND($I$37/$K$37/($E$37/$O$37),1)&amp;".","")</f>
        <v>#VALUE!</v>
      </c>
      <c r="S91" s="436"/>
      <c r="T91" s="436"/>
      <c r="U91" s="436"/>
      <c r="V91" s="436"/>
      <c r="W91" s="436"/>
      <c r="X91" s="436"/>
      <c r="Y91" s="436"/>
      <c r="Z91" s="85"/>
      <c r="AB91" s="72">
        <f t="shared" si="7"/>
      </c>
      <c r="AC91" s="86">
        <f t="shared" si="8"/>
      </c>
      <c r="AD91" s="72">
        <f t="shared" si="9"/>
      </c>
      <c r="AE91" s="66"/>
      <c r="AF91" s="67"/>
      <c r="AG91" s="66"/>
    </row>
    <row r="92" spans="2:30" ht="13.5" customHeight="1" thickBot="1">
      <c r="B92" s="46"/>
      <c r="C92" s="69"/>
      <c r="D92" s="70" t="str">
        <f>IF(AND(COUNTIF(D86:D91,"=1")=SUM(D86:D91),SUM(D86:D91)&gt;1),"Decision is for the addition (simultaneous use) of effects marked with 1s",IF(SUMPRODUCT(D86:D91,D86:D91)&gt;2,"ERROR: bad weights",IF(OR(SUM(D86:D91)=1,SUM(D86:D91)=0),"Good weights","ERROR: weights do not add to 1 or 0")))</f>
        <v>Good weights</v>
      </c>
      <c r="E92" s="49"/>
      <c r="F92" s="49"/>
      <c r="G92" s="49"/>
      <c r="H92" s="49"/>
      <c r="I92" s="49"/>
      <c r="J92" s="49"/>
      <c r="K92" s="49"/>
      <c r="L92" s="49"/>
      <c r="M92" s="49"/>
      <c r="N92" s="49"/>
      <c r="O92" s="49"/>
      <c r="P92" s="49"/>
      <c r="Q92" s="49"/>
      <c r="R92" s="49"/>
      <c r="S92" s="49"/>
      <c r="T92" s="49"/>
      <c r="U92" s="49"/>
      <c r="V92" s="49"/>
      <c r="W92" s="49"/>
      <c r="X92" s="49"/>
      <c r="Y92" s="49"/>
      <c r="Z92" s="48"/>
      <c r="AB92" s="13"/>
      <c r="AC92" s="13"/>
      <c r="AD92" s="13"/>
    </row>
    <row r="93" spans="6:29" ht="13.5" thickBot="1">
      <c r="F93" s="7"/>
      <c r="G93" s="15"/>
      <c r="AB93" s="1"/>
      <c r="AC93" s="1"/>
    </row>
    <row r="94" spans="2:30" s="21" customFormat="1" ht="15.75" customHeight="1">
      <c r="B94" s="171" t="s">
        <v>128</v>
      </c>
      <c r="C94" s="168"/>
      <c r="D94" s="168"/>
      <c r="E94" s="164"/>
      <c r="F94" s="166"/>
      <c r="G94" s="166"/>
      <c r="H94" s="166"/>
      <c r="I94" s="166"/>
      <c r="J94" s="166"/>
      <c r="K94" s="166"/>
      <c r="L94" s="166"/>
      <c r="M94" s="166"/>
      <c r="N94" s="166"/>
      <c r="O94" s="166"/>
      <c r="P94" s="166"/>
      <c r="Q94" s="166"/>
      <c r="R94" s="166"/>
      <c r="S94" s="166"/>
      <c r="T94" s="166"/>
      <c r="U94" s="166"/>
      <c r="V94" s="166"/>
      <c r="W94" s="166"/>
      <c r="X94" s="166"/>
      <c r="Y94" s="166"/>
      <c r="Z94" s="170"/>
      <c r="AB94" s="2"/>
      <c r="AC94" s="9"/>
      <c r="AD94" s="9"/>
    </row>
    <row r="95" spans="2:30" ht="12.75" customHeight="1">
      <c r="B95" s="141" t="s">
        <v>135</v>
      </c>
      <c r="C95" s="21"/>
      <c r="D95" s="2"/>
      <c r="E95" s="2"/>
      <c r="F95" s="12"/>
      <c r="G95" s="12"/>
      <c r="H95" s="12"/>
      <c r="I95" s="12"/>
      <c r="J95" s="12"/>
      <c r="K95" s="12"/>
      <c r="L95" s="12"/>
      <c r="M95" s="12"/>
      <c r="N95" s="12"/>
      <c r="O95" s="12"/>
      <c r="P95" s="12"/>
      <c r="Q95" s="12"/>
      <c r="R95" s="12"/>
      <c r="S95" s="12"/>
      <c r="T95" s="12"/>
      <c r="U95" s="12"/>
      <c r="V95" s="12"/>
      <c r="W95" s="12"/>
      <c r="X95" s="12"/>
      <c r="Y95" s="12"/>
      <c r="Z95" s="52"/>
      <c r="AB95" s="1"/>
      <c r="AC95" s="11"/>
      <c r="AD95" s="11"/>
    </row>
    <row r="96" spans="2:30" ht="9" customHeight="1">
      <c r="B96" s="59"/>
      <c r="C96" s="30"/>
      <c r="D96" s="60"/>
      <c r="E96" s="60"/>
      <c r="F96" s="30"/>
      <c r="G96" s="30"/>
      <c r="H96" s="30"/>
      <c r="I96" s="30"/>
      <c r="J96" s="30"/>
      <c r="K96" s="30"/>
      <c r="L96" s="30"/>
      <c r="M96" s="30"/>
      <c r="N96" s="30"/>
      <c r="O96" s="30"/>
      <c r="P96" s="30"/>
      <c r="Q96" s="30"/>
      <c r="R96" s="30"/>
      <c r="S96" s="30"/>
      <c r="T96" s="30"/>
      <c r="U96" s="30"/>
      <c r="V96" s="30"/>
      <c r="W96" s="30"/>
      <c r="X96" s="30"/>
      <c r="Y96" s="30"/>
      <c r="Z96" s="45"/>
      <c r="AB96" s="1"/>
      <c r="AC96" s="1"/>
      <c r="AD96" s="1"/>
    </row>
    <row r="97" spans="2:32" ht="12.75" customHeight="1">
      <c r="B97" s="59"/>
      <c r="C97" s="30"/>
      <c r="D97" s="446" t="s">
        <v>121</v>
      </c>
      <c r="E97" s="447"/>
      <c r="F97" s="447"/>
      <c r="G97" s="447"/>
      <c r="H97" s="447"/>
      <c r="I97" s="447"/>
      <c r="J97" s="447"/>
      <c r="K97" s="448"/>
      <c r="L97" s="497" t="s">
        <v>122</v>
      </c>
      <c r="M97" s="498"/>
      <c r="N97" s="446" t="s">
        <v>99</v>
      </c>
      <c r="O97" s="447"/>
      <c r="P97" s="447"/>
      <c r="Q97" s="447"/>
      <c r="R97" s="447"/>
      <c r="S97" s="448"/>
      <c r="T97" s="516" t="s">
        <v>64</v>
      </c>
      <c r="U97" s="517"/>
      <c r="V97" s="517"/>
      <c r="W97" s="517"/>
      <c r="X97" s="517"/>
      <c r="Y97" s="518"/>
      <c r="Z97" s="45"/>
      <c r="AB97" s="1"/>
      <c r="AC97" s="1"/>
      <c r="AD97" s="1"/>
      <c r="AE97" s="1"/>
      <c r="AF97" s="1"/>
    </row>
    <row r="98" spans="2:32" ht="12.75" customHeight="1">
      <c r="B98" s="59"/>
      <c r="C98" s="30"/>
      <c r="D98" s="449" t="s">
        <v>18</v>
      </c>
      <c r="E98" s="542" t="s">
        <v>41</v>
      </c>
      <c r="F98" s="456" t="s">
        <v>120</v>
      </c>
      <c r="G98" s="458" t="s">
        <v>159</v>
      </c>
      <c r="H98" s="459"/>
      <c r="I98" s="460"/>
      <c r="J98" s="463" t="s">
        <v>185</v>
      </c>
      <c r="K98" s="463"/>
      <c r="L98" s="101" t="s">
        <v>72</v>
      </c>
      <c r="M98" s="100" t="s">
        <v>71</v>
      </c>
      <c r="N98" s="23" t="s">
        <v>19</v>
      </c>
      <c r="O98" s="458" t="str">
        <f>K100&amp;"% compatibility limits"</f>
        <v>90% compatibility limits</v>
      </c>
      <c r="P98" s="459"/>
      <c r="Q98" s="460"/>
      <c r="R98" s="497" t="s">
        <v>162</v>
      </c>
      <c r="S98" s="498"/>
      <c r="T98" s="504" t="str">
        <f>"...beneficial or
substantially "&amp;L99</f>
        <v>...beneficial or
substantially &gt;</v>
      </c>
      <c r="U98" s="505"/>
      <c r="V98" s="508" t="s">
        <v>70</v>
      </c>
      <c r="W98" s="509"/>
      <c r="X98" s="512" t="str">
        <f>"...harmful or 
substantially "&amp;M99</f>
        <v>...harmful or 
substantially &lt;</v>
      </c>
      <c r="Y98" s="513"/>
      <c r="Z98" s="539" t="s">
        <v>125</v>
      </c>
      <c r="AB98" s="1"/>
      <c r="AC98" s="2"/>
      <c r="AD98" s="2"/>
      <c r="AE98" s="1"/>
      <c r="AF98" s="1"/>
    </row>
    <row r="99" spans="2:31" ht="13.5" customHeight="1">
      <c r="B99" s="59"/>
      <c r="C99" s="30"/>
      <c r="D99" s="449"/>
      <c r="E99" s="543"/>
      <c r="F99" s="457"/>
      <c r="G99" s="38" t="s">
        <v>15</v>
      </c>
      <c r="H99" s="39" t="s">
        <v>16</v>
      </c>
      <c r="I99" s="37" t="s">
        <v>96</v>
      </c>
      <c r="J99" s="24" t="s">
        <v>3</v>
      </c>
      <c r="K99" s="25" t="s">
        <v>20</v>
      </c>
      <c r="L99" s="123" t="str">
        <f>IF(ISBLANK(L100),"???",IF(L100&lt;1,"&lt;","&gt;"))</f>
        <v>&gt;</v>
      </c>
      <c r="M99" s="124" t="str">
        <f>IF(TYPE(M100)=2,"???",IF(M100&lt;1,"&lt;","&gt;"))</f>
        <v>&lt;</v>
      </c>
      <c r="N99" s="19" t="s">
        <v>31</v>
      </c>
      <c r="O99" s="25" t="s">
        <v>0</v>
      </c>
      <c r="P99" s="25" t="s">
        <v>1</v>
      </c>
      <c r="Q99" s="16" t="s">
        <v>14</v>
      </c>
      <c r="R99" s="82" t="s">
        <v>66</v>
      </c>
      <c r="S99" s="74" t="s">
        <v>138</v>
      </c>
      <c r="T99" s="506"/>
      <c r="U99" s="507"/>
      <c r="V99" s="531"/>
      <c r="W99" s="532"/>
      <c r="X99" s="529"/>
      <c r="Y99" s="530"/>
      <c r="Z99" s="540"/>
      <c r="AB99" s="3" t="s">
        <v>42</v>
      </c>
      <c r="AC99" s="3" t="s">
        <v>40</v>
      </c>
      <c r="AD99" s="4" t="s">
        <v>43</v>
      </c>
      <c r="AE99" s="5" t="s">
        <v>44</v>
      </c>
    </row>
    <row r="100" spans="2:31" s="87" customFormat="1" ht="18" customHeight="1">
      <c r="B100" s="93"/>
      <c r="C100" s="89"/>
      <c r="D100" s="94" t="s">
        <v>7</v>
      </c>
      <c r="E100" s="94">
        <f>1/3</f>
        <v>0.3333333333333333</v>
      </c>
      <c r="F100" s="95">
        <v>1.9</v>
      </c>
      <c r="G100" s="95"/>
      <c r="H100" s="95"/>
      <c r="I100" s="95">
        <v>2.9</v>
      </c>
      <c r="J100" s="96">
        <v>90</v>
      </c>
      <c r="K100" s="452">
        <f>100-2*$G$37</f>
        <v>90</v>
      </c>
      <c r="L100" s="488">
        <v>1.2</v>
      </c>
      <c r="M100" s="478">
        <f>IF(ISBLANK(L100),"",1/L100)</f>
        <v>0.8333333333333334</v>
      </c>
      <c r="N100" s="469">
        <f>EXP(AE100)</f>
        <v>1.547376763048378</v>
      </c>
      <c r="O100" s="469">
        <f>EXP(AE100+NORMSINV((100-K100)/200)*AD100)</f>
        <v>0.8598180229137915</v>
      </c>
      <c r="P100" s="469">
        <f>EXP(AE100-NORMSINV((100-K100)/200)*AD100)</f>
        <v>2.784746054412661</v>
      </c>
      <c r="Q100" s="469">
        <f>SQRT(P100/O100)</f>
        <v>1.7996561153772461</v>
      </c>
      <c r="R100" s="471" t="str">
        <f>IF(T100&lt;$I$37,IF(MAX(V100,X100)=V100,V101&amp;" trivial; don't use",X101&amp;" harmful; don't use"),IF(X100&lt;$E$37,T101&amp;" beneficial; consider using","unclear; don't use; get more data"))</f>
        <v>unclear; don't use; get more data</v>
      </c>
      <c r="S100" s="471" t="str">
        <f>IF(MIN(T100,X100)&gt;$G$37,"unclear; get more data",IF(MAX(T100,V100,X100)=T100,T101&amp;" "&amp;L99,IF(MAX(T100,V100,X100)=V100,V101&amp;" trivial",X101&amp;" "&amp;M99)))</f>
        <v>likely &gt;</v>
      </c>
      <c r="T100" s="126">
        <f>IF(L100&gt;1,NORMSDIST((AE100-LN(L100))/AD100),1-NORMSDIST((AE100-LN(L100))/AD100))*100</f>
        <v>76.16720935431864</v>
      </c>
      <c r="U100" s="127" t="s">
        <v>65</v>
      </c>
      <c r="V100" s="126">
        <f>100-T100-X100</f>
        <v>19.672986290059846</v>
      </c>
      <c r="W100" s="127" t="s">
        <v>65</v>
      </c>
      <c r="X100" s="126">
        <f>IF(M100&gt;1,NORMSDIST((AE100-LN(M100))/AD100),1-NORMSDIST((AE100-LN(M100))/AD100))*100</f>
        <v>4.15980435562151</v>
      </c>
      <c r="Y100" s="127" t="s">
        <v>65</v>
      </c>
      <c r="Z100" s="183">
        <f>T100/(100-T100)/(X100/(100-X100))</f>
        <v>73.63222638852349</v>
      </c>
      <c r="AB100" s="72">
        <f aca="true" t="shared" si="10" ref="AB100:AB105">IF(ISNUMBER(F100),-LN(IF(ISNUMBER(I100),I100,SQRT(H100/G100)))/NORMSINV((100-J100)/200),"")</f>
        <v>0.6472981665643613</v>
      </c>
      <c r="AC100" s="72">
        <f aca="true" t="shared" si="11" ref="AC100:AC105">IF(ISBLANK(F100),"",LN(F100))</f>
        <v>0.6418538861723947</v>
      </c>
      <c r="AD100" s="492">
        <f>SQRT(SUMPRODUCT(AB100:AB105,AB100:AB105,E100:E105,E100:E105))</f>
        <v>0.35723275920101566</v>
      </c>
      <c r="AE100" s="474">
        <f>SUMPRODUCT(AC100:AC105,E100:E105)</f>
        <v>0.43656108624934997</v>
      </c>
    </row>
    <row r="101" spans="2:31" s="87" customFormat="1" ht="18" customHeight="1">
      <c r="B101" s="93"/>
      <c r="C101" s="89"/>
      <c r="D101" s="94" t="s">
        <v>8</v>
      </c>
      <c r="E101" s="94">
        <f>1/3</f>
        <v>0.3333333333333333</v>
      </c>
      <c r="F101" s="95">
        <v>1.5</v>
      </c>
      <c r="G101" s="95"/>
      <c r="H101" s="95"/>
      <c r="I101" s="95">
        <v>2.3</v>
      </c>
      <c r="J101" s="97">
        <f>J100</f>
        <v>90</v>
      </c>
      <c r="K101" s="453"/>
      <c r="L101" s="488"/>
      <c r="M101" s="479"/>
      <c r="N101" s="470"/>
      <c r="O101" s="470"/>
      <c r="P101" s="470"/>
      <c r="Q101" s="470"/>
      <c r="R101" s="472"/>
      <c r="S101" s="472"/>
      <c r="T101" s="499" t="str">
        <f>IF(T100&lt;$E$37,$D$37,IF(T100&lt;$G$37,$F$37,IF(T100&lt;$I$37,$H$37,IF(T100&lt;$K$37,$J$37,IF(T100&lt;$M$37,$L$37,IF(T100&lt;$O$37,$N$37,$P$37))))))</f>
        <v>likely</v>
      </c>
      <c r="U101" s="500"/>
      <c r="V101" s="499" t="str">
        <f>IF(V100&lt;$E$37,$D$37,IF(V100&lt;$G$37,$F$37,IF(V100&lt;$I$37,$H$37,IF(V100&lt;$K$37,$J$37,IF(V100&lt;$M$37,$L$37,IF(V100&lt;$O$37,$N$37,$P$37))))))</f>
        <v>unlikely</v>
      </c>
      <c r="W101" s="500"/>
      <c r="X101" s="499" t="str">
        <f>IF(X100&lt;$E$37,$D$37,IF(X100&lt;$G$37,$F$37,IF(X100&lt;$I$37,$H$37,IF(X100&lt;$K$37,$J$37,IF(X100&lt;$M$37,$L$37,IF(X100&lt;$O$37,$N$37,$P$37))))))</f>
        <v>very unlikely</v>
      </c>
      <c r="Y101" s="500"/>
      <c r="Z101" s="85"/>
      <c r="AB101" s="72">
        <f t="shared" si="10"/>
        <v>0.5063727916500359</v>
      </c>
      <c r="AC101" s="72">
        <f t="shared" si="11"/>
        <v>0.4054651081081644</v>
      </c>
      <c r="AD101" s="492"/>
      <c r="AE101" s="474"/>
    </row>
    <row r="102" spans="2:31" s="87" customFormat="1" ht="18" customHeight="1">
      <c r="B102" s="93"/>
      <c r="C102" s="89"/>
      <c r="D102" s="84" t="s">
        <v>34</v>
      </c>
      <c r="E102" s="94">
        <f>1/3</f>
        <v>0.3333333333333333</v>
      </c>
      <c r="F102" s="95">
        <v>1.3</v>
      </c>
      <c r="G102" s="95"/>
      <c r="H102" s="95"/>
      <c r="I102" s="95">
        <v>3.1</v>
      </c>
      <c r="J102" s="97">
        <f>J101</f>
        <v>90</v>
      </c>
      <c r="K102" s="89"/>
      <c r="L102" s="89"/>
      <c r="M102" s="89"/>
      <c r="N102" s="114" t="s">
        <v>35</v>
      </c>
      <c r="O102" s="115"/>
      <c r="P102" s="116"/>
      <c r="Q102" s="116"/>
      <c r="R102" s="225" t="str">
        <f>IF(AND(X100&gt;$E$37,Z100&gt;$I$37/$K$37/($E$37/$O$37)),"Less conservative clinical: '"&amp;T101&amp;" beneficial, consider using' because odds ratio is &gt;"&amp;ROUND($I$37/$K$37/($E$37/$O$37),1)&amp;".","")</f>
        <v>Less conservative clinical: 'likely beneficial, consider using' because odds ratio is &gt;66.3.</v>
      </c>
      <c r="S102" s="116"/>
      <c r="T102" s="116"/>
      <c r="U102" s="116"/>
      <c r="V102" s="116"/>
      <c r="W102" s="116"/>
      <c r="X102" s="116"/>
      <c r="Y102" s="117"/>
      <c r="Z102" s="85"/>
      <c r="AB102" s="72">
        <f t="shared" si="10"/>
        <v>0.6878436433204156</v>
      </c>
      <c r="AC102" s="72">
        <f t="shared" si="11"/>
        <v>0.26236426446749106</v>
      </c>
      <c r="AD102" s="118" t="s">
        <v>5</v>
      </c>
      <c r="AE102" s="119" t="s">
        <v>46</v>
      </c>
    </row>
    <row r="103" spans="2:31" s="87" customFormat="1" ht="18" customHeight="1">
      <c r="B103" s="93"/>
      <c r="C103" s="89"/>
      <c r="D103" s="84" t="s">
        <v>37</v>
      </c>
      <c r="E103" s="94">
        <v>0</v>
      </c>
      <c r="F103" s="95">
        <v>1.6</v>
      </c>
      <c r="G103" s="95"/>
      <c r="H103" s="95"/>
      <c r="I103" s="95">
        <v>1.9</v>
      </c>
      <c r="J103" s="97">
        <f>J102</f>
        <v>90</v>
      </c>
      <c r="K103" s="89"/>
      <c r="L103" s="89"/>
      <c r="M103" s="89"/>
      <c r="N103" s="450">
        <f>EXP(AE103)</f>
        <v>1.5603680485594775</v>
      </c>
      <c r="O103" s="450">
        <f>EXP(AE103+NORMSINV((100-K100)/200)*AD103)</f>
        <v>0.9762081391182724</v>
      </c>
      <c r="P103" s="450">
        <f>EXP(AE103-NORMSINV((100-K100)/200)*AD103)</f>
        <v>2.494087428081083</v>
      </c>
      <c r="Q103" s="450">
        <f>SQRT(P103/O103)</f>
        <v>1.5983968848782886</v>
      </c>
      <c r="R103" s="476" t="str">
        <f>IF(T103&lt;$I$37,IF(MAX(V103,X103)=V103,V104&amp;" trivial; don't use",X104&amp;" harmful; don't use"),IF(X103&lt;$E$37,T104&amp;" beneficial; consider using","unclear; don't use; get more data"))</f>
        <v>unclear; don't use; get more data</v>
      </c>
      <c r="S103" s="476" t="str">
        <f>IF(MIN(T103,X103)&gt;$G$37,"unclear; get more data",IF(MAX(T103,V103,X103)=T103,T104&amp;" "&amp;L99,IF(MAX(T103,V103,X103)=V103,V104&amp;" trivial",X104&amp;" "&amp;M99)))</f>
        <v>likely &gt;</v>
      </c>
      <c r="T103" s="128">
        <f>IF(L100&gt;1,NORMSDIST((AE103-LN(L100))/AD103),1-NORMSDIST((AE103-LN(L100))/AD103))*100</f>
        <v>82.14685232177237</v>
      </c>
      <c r="U103" s="129" t="s">
        <v>65</v>
      </c>
      <c r="V103" s="128">
        <f>100-T103-X103</f>
        <v>16.462203652544623</v>
      </c>
      <c r="W103" s="129" t="s">
        <v>65</v>
      </c>
      <c r="X103" s="128">
        <f>IF(M100&gt;1,NORMSDIST((AE103-LN(M100))/AD103),1-NORMSDIST((AE103-LN(M100))/AD103))*100</f>
        <v>1.3909440256830052</v>
      </c>
      <c r="Y103" s="129" t="s">
        <v>65</v>
      </c>
      <c r="Z103" s="182">
        <f>T103/(100-T103)/(X103/(100-X103))</f>
        <v>326.1994896018732</v>
      </c>
      <c r="AB103" s="72">
        <f t="shared" si="10"/>
        <v>0.39021945518762624</v>
      </c>
      <c r="AC103" s="72">
        <f t="shared" si="11"/>
        <v>0.47000362924573563</v>
      </c>
      <c r="AD103" s="492">
        <f>SQRT(SUMPRODUCT(AB100:AB105,AB100:AB105))/COUNT(F100:F105)</f>
        <v>0.2851324715619331</v>
      </c>
      <c r="AE103" s="474">
        <f>AVERAGE(AC100:AC105)</f>
        <v>0.44492172199844643</v>
      </c>
    </row>
    <row r="104" spans="2:31" s="87" customFormat="1" ht="18" customHeight="1">
      <c r="B104" s="93"/>
      <c r="C104" s="89"/>
      <c r="D104" s="84" t="s">
        <v>38</v>
      </c>
      <c r="E104" s="94"/>
      <c r="F104" s="95"/>
      <c r="G104" s="95"/>
      <c r="H104" s="95"/>
      <c r="I104" s="95"/>
      <c r="J104" s="97">
        <f>J103</f>
        <v>90</v>
      </c>
      <c r="K104" s="89"/>
      <c r="L104" s="89"/>
      <c r="M104" s="89"/>
      <c r="N104" s="451"/>
      <c r="O104" s="451"/>
      <c r="P104" s="451"/>
      <c r="Q104" s="451"/>
      <c r="R104" s="476"/>
      <c r="S104" s="476"/>
      <c r="T104" s="489" t="str">
        <f>IF(T103&lt;$E$37,$D$37,IF(T103&lt;$G$37,$F$37,IF(T103&lt;$I$37,$H$37,IF(T103&lt;$K$37,$J$37,IF(T103&lt;$M$37,$L$37,IF(T103&lt;$O$37,$N$37,$P$37))))))</f>
        <v>likely</v>
      </c>
      <c r="U104" s="490"/>
      <c r="V104" s="489" t="str">
        <f>IF(V103&lt;$E$37,$D$37,IF(V103&lt;$G$37,$F$37,IF(V103&lt;$I$37,$H$37,IF(V103&lt;$K$37,$J$37,IF(V103&lt;$M$37,$L$37,IF(V103&lt;$O$37,$N$37,$P$37))))))</f>
        <v>unlikely</v>
      </c>
      <c r="W104" s="490"/>
      <c r="X104" s="489" t="str">
        <f>IF(X103&lt;$E$37,$D$37,IF(X103&lt;$G$37,$F$37,IF(X103&lt;$I$37,$H$37,IF(X103&lt;$K$37,$J$37,IF(X103&lt;$M$37,$L$37,IF(X103&lt;$O$37,$N$37,$P$37))))))</f>
        <v>very unlikely</v>
      </c>
      <c r="Y104" s="490"/>
      <c r="Z104" s="85"/>
      <c r="AB104" s="72">
        <f t="shared" si="10"/>
      </c>
      <c r="AC104" s="72">
        <f t="shared" si="11"/>
      </c>
      <c r="AD104" s="492"/>
      <c r="AE104" s="474"/>
    </row>
    <row r="105" spans="2:29" s="87" customFormat="1" ht="18" customHeight="1">
      <c r="B105" s="83"/>
      <c r="C105" s="121"/>
      <c r="D105" s="84" t="s">
        <v>39</v>
      </c>
      <c r="E105" s="94"/>
      <c r="F105" s="95"/>
      <c r="G105" s="95"/>
      <c r="H105" s="95"/>
      <c r="I105" s="95"/>
      <c r="J105" s="97">
        <f>J104</f>
        <v>90</v>
      </c>
      <c r="K105" s="120"/>
      <c r="L105" s="120"/>
      <c r="M105" s="120"/>
      <c r="N105" s="120"/>
      <c r="O105" s="120"/>
      <c r="P105" s="120"/>
      <c r="Q105" s="120"/>
      <c r="R105" s="225" t="str">
        <f>IF(AND(X103&gt;$E$37,Z103&gt;$I$37/$K$37/($E$37/$O$37)),"Less conservative clinical: '"&amp;T104&amp;" beneficial, consider using' because odds ratio is &gt;"&amp;ROUND($I$37/$K$37/($E$37/$O$37),1)&amp;".","")</f>
        <v>Less conservative clinical: 'likely beneficial, consider using' because odds ratio is &gt;66.3.</v>
      </c>
      <c r="S105" s="436"/>
      <c r="T105" s="436"/>
      <c r="U105" s="436"/>
      <c r="V105" s="436"/>
      <c r="W105" s="436"/>
      <c r="X105" s="436"/>
      <c r="Y105" s="436"/>
      <c r="Z105" s="122"/>
      <c r="AB105" s="72">
        <f t="shared" si="10"/>
      </c>
      <c r="AC105" s="72">
        <f t="shared" si="11"/>
      </c>
    </row>
    <row r="106" spans="2:26" ht="12" customHeight="1" thickBot="1">
      <c r="B106" s="61"/>
      <c r="C106" s="40"/>
      <c r="D106" s="40"/>
      <c r="E106" s="68" t="str">
        <f>IF(AND(COUNTIF(E100:E105,"=1")=SUM(E100:E105),SUM(E100:E105)&gt;1),"Decision is for the addition (simultaneous use) of effects marked with 1s",IF(SUMPRODUCT(E100:E105,E100:E105)&gt;2,"ERROR: bad weights",IF(OR(SUM(E100:E105)=1,SUM(E100:E105)=0),"Good weights","ERROR: weights do not add to 1 or 0")))</f>
        <v>Good weights</v>
      </c>
      <c r="F106" s="40"/>
      <c r="G106" s="40"/>
      <c r="H106" s="40"/>
      <c r="I106" s="40"/>
      <c r="J106" s="40"/>
      <c r="K106" s="40"/>
      <c r="L106" s="40"/>
      <c r="M106" s="40"/>
      <c r="N106" s="40"/>
      <c r="O106" s="40"/>
      <c r="P106" s="40"/>
      <c r="Q106" s="40"/>
      <c r="R106" s="40"/>
      <c r="S106" s="40"/>
      <c r="T106" s="40"/>
      <c r="U106" s="40"/>
      <c r="V106" s="40"/>
      <c r="W106" s="40"/>
      <c r="X106" s="40"/>
      <c r="Y106" s="40"/>
      <c r="Z106" s="62"/>
    </row>
    <row r="107" spans="2:26" ht="12" customHeight="1">
      <c r="B107" s="221"/>
      <c r="C107" s="222"/>
      <c r="D107" s="222"/>
      <c r="E107" s="226"/>
      <c r="F107" s="222"/>
      <c r="G107" s="222"/>
      <c r="H107" s="222"/>
      <c r="I107" s="222"/>
      <c r="J107" s="222"/>
      <c r="K107" s="222"/>
      <c r="L107" s="222"/>
      <c r="M107" s="222"/>
      <c r="N107" s="222"/>
      <c r="O107" s="222"/>
      <c r="P107" s="222"/>
      <c r="Q107" s="222"/>
      <c r="R107" s="222"/>
      <c r="S107" s="222"/>
      <c r="T107" s="222"/>
      <c r="U107" s="222"/>
      <c r="V107" s="222"/>
      <c r="W107" s="222"/>
      <c r="X107" s="222"/>
      <c r="Y107" s="222"/>
      <c r="Z107" s="227"/>
    </row>
    <row r="108" spans="2:30" ht="12.75" customHeight="1">
      <c r="B108" s="59"/>
      <c r="C108" s="30"/>
      <c r="D108" s="446" t="s">
        <v>121</v>
      </c>
      <c r="E108" s="447"/>
      <c r="F108" s="447"/>
      <c r="G108" s="447"/>
      <c r="H108" s="447"/>
      <c r="I108" s="447"/>
      <c r="J108" s="447"/>
      <c r="K108" s="448"/>
      <c r="L108" s="497" t="s">
        <v>122</v>
      </c>
      <c r="M108" s="498"/>
      <c r="N108" s="446" t="s">
        <v>99</v>
      </c>
      <c r="O108" s="447"/>
      <c r="P108" s="447"/>
      <c r="Q108" s="447"/>
      <c r="R108" s="447"/>
      <c r="S108" s="448"/>
      <c r="T108" s="516" t="s">
        <v>64</v>
      </c>
      <c r="U108" s="517"/>
      <c r="V108" s="517"/>
      <c r="W108" s="517"/>
      <c r="X108" s="517"/>
      <c r="Y108" s="518"/>
      <c r="Z108" s="45"/>
      <c r="AB108" s="1"/>
      <c r="AC108" s="1"/>
      <c r="AD108" s="1"/>
    </row>
    <row r="109" spans="2:30" ht="12.75" customHeight="1">
      <c r="B109" s="59"/>
      <c r="C109" s="30"/>
      <c r="D109" s="449" t="s">
        <v>18</v>
      </c>
      <c r="E109" s="542" t="s">
        <v>41</v>
      </c>
      <c r="F109" s="456" t="s">
        <v>120</v>
      </c>
      <c r="G109" s="458" t="s">
        <v>159</v>
      </c>
      <c r="H109" s="459"/>
      <c r="I109" s="460"/>
      <c r="J109" s="463" t="s">
        <v>185</v>
      </c>
      <c r="K109" s="463"/>
      <c r="L109" s="101" t="s">
        <v>72</v>
      </c>
      <c r="M109" s="100" t="s">
        <v>71</v>
      </c>
      <c r="N109" s="23" t="s">
        <v>19</v>
      </c>
      <c r="O109" s="458" t="str">
        <f>K111&amp;"% compatibility limits"</f>
        <v>90% compatibility limits</v>
      </c>
      <c r="P109" s="459"/>
      <c r="Q109" s="460"/>
      <c r="R109" s="497" t="s">
        <v>162</v>
      </c>
      <c r="S109" s="498"/>
      <c r="T109" s="504" t="str">
        <f>"...beneficial or
substantially "&amp;L110</f>
        <v>...beneficial or
substantially ???</v>
      </c>
      <c r="U109" s="505"/>
      <c r="V109" s="508" t="s">
        <v>70</v>
      </c>
      <c r="W109" s="509"/>
      <c r="X109" s="512" t="str">
        <f>"...harmful or 
substantially "&amp;M110</f>
        <v>...harmful or 
substantially ???</v>
      </c>
      <c r="Y109" s="513"/>
      <c r="Z109" s="461" t="s">
        <v>125</v>
      </c>
      <c r="AB109" s="2"/>
      <c r="AC109" s="2"/>
      <c r="AD109" s="1"/>
    </row>
    <row r="110" spans="2:31" ht="13.5" customHeight="1">
      <c r="B110" s="59"/>
      <c r="C110" s="30"/>
      <c r="D110" s="449"/>
      <c r="E110" s="543"/>
      <c r="F110" s="457"/>
      <c r="G110" s="38" t="s">
        <v>15</v>
      </c>
      <c r="H110" s="39" t="s">
        <v>16</v>
      </c>
      <c r="I110" s="37" t="s">
        <v>96</v>
      </c>
      <c r="J110" s="24" t="s">
        <v>3</v>
      </c>
      <c r="K110" s="25" t="s">
        <v>20</v>
      </c>
      <c r="L110" s="123" t="str">
        <f>IF(ISBLANK(L111),"???",IF(L111&lt;1,"&lt;","&gt;"))</f>
        <v>???</v>
      </c>
      <c r="M110" s="124" t="str">
        <f>IF(TYPE(M111)=2,"???",IF(M111&lt;1,"&lt;","&gt;"))</f>
        <v>???</v>
      </c>
      <c r="N110" s="19" t="s">
        <v>31</v>
      </c>
      <c r="O110" s="25" t="s">
        <v>0</v>
      </c>
      <c r="P110" s="25" t="s">
        <v>1</v>
      </c>
      <c r="Q110" s="16" t="s">
        <v>14</v>
      </c>
      <c r="R110" s="82" t="s">
        <v>66</v>
      </c>
      <c r="S110" s="74" t="s">
        <v>138</v>
      </c>
      <c r="T110" s="506"/>
      <c r="U110" s="507"/>
      <c r="V110" s="531"/>
      <c r="W110" s="532"/>
      <c r="X110" s="529"/>
      <c r="Y110" s="530"/>
      <c r="Z110" s="462"/>
      <c r="AB110" s="3" t="s">
        <v>42</v>
      </c>
      <c r="AC110" s="3" t="s">
        <v>40</v>
      </c>
      <c r="AD110" s="4" t="s">
        <v>43</v>
      </c>
      <c r="AE110" s="5" t="s">
        <v>44</v>
      </c>
    </row>
    <row r="111" spans="2:31" s="87" customFormat="1" ht="18" customHeight="1">
      <c r="B111" s="93"/>
      <c r="C111" s="89"/>
      <c r="D111" s="94" t="s">
        <v>7</v>
      </c>
      <c r="E111" s="94"/>
      <c r="F111" s="191"/>
      <c r="G111" s="95"/>
      <c r="H111" s="95"/>
      <c r="I111" s="191"/>
      <c r="J111" s="96">
        <v>90</v>
      </c>
      <c r="K111" s="452">
        <f>100-2*$G$37</f>
        <v>90</v>
      </c>
      <c r="L111" s="488"/>
      <c r="M111" s="478">
        <f>IF(ISBLANK(L111),"",1/L111)</f>
      </c>
      <c r="N111" s="469">
        <f>EXP(AE111)</f>
        <v>1</v>
      </c>
      <c r="O111" s="469">
        <f>EXP(AE111+NORMSINV((100-K111)/200)*AD111)</f>
        <v>1</v>
      </c>
      <c r="P111" s="469">
        <f>EXP(AE111-NORMSINV((100-K111)/200)*AD111)</f>
        <v>1</v>
      </c>
      <c r="Q111" s="469">
        <f>SQRT(P111/O111)</f>
        <v>1</v>
      </c>
      <c r="R111" s="471" t="e">
        <f>IF(T111&lt;$I$37,IF(MAX(V111,X111)=V111,V112&amp;" trivial; don't use",X112&amp;" harmful; don't use"),IF(X111&lt;$E$37,T112&amp;" beneficial; consider using","unclear; don't use; get more data"))</f>
        <v>#NUM!</v>
      </c>
      <c r="S111" s="471" t="e">
        <f>IF(MIN(T111,X111)&gt;$G$37,"unclear; get more data",IF(MAX(T111,V111,X111)=T111,T112&amp;" "&amp;L110,IF(MAX(T111,V111,X111)=V111,V112&amp;" trivial",X112&amp;" "&amp;M110)))</f>
        <v>#NUM!</v>
      </c>
      <c r="T111" s="126" t="e">
        <f>IF(L111&gt;1,NORMSDIST((AE111-LN(L111))/AD111),1-NORMSDIST((AE111-LN(L111))/AD111))*100</f>
        <v>#NUM!</v>
      </c>
      <c r="U111" s="127" t="s">
        <v>65</v>
      </c>
      <c r="V111" s="126" t="e">
        <f>100-T111-X111</f>
        <v>#NUM!</v>
      </c>
      <c r="W111" s="127" t="s">
        <v>65</v>
      </c>
      <c r="X111" s="126" t="e">
        <f>IF(M111&gt;1,NORMSDIST((AE111-LN(M111))/AD111),1-NORMSDIST((AE111-LN(M111))/AD111))*100</f>
        <v>#VALUE!</v>
      </c>
      <c r="Y111" s="127" t="s">
        <v>65</v>
      </c>
      <c r="Z111" s="185" t="e">
        <f>T111/(100-T111)/(X111/(100-X111))</f>
        <v>#NUM!</v>
      </c>
      <c r="AB111" s="72">
        <f aca="true" t="shared" si="12" ref="AB111:AB116">IF(ISNUMBER(F111),-LN(IF(ISNUMBER(I111),I111,SQRT(H111/G111)))/NORMSINV((100-J111)/200),"")</f>
      </c>
      <c r="AC111" s="72">
        <f aca="true" t="shared" si="13" ref="AC111:AC116">IF(ISBLANK(F111),"",LN(F111))</f>
      </c>
      <c r="AD111" s="492">
        <f>SQRT(SUMPRODUCT(AB111:AB116,AB111:AB116,E111:E116,E111:E116))</f>
        <v>0</v>
      </c>
      <c r="AE111" s="474">
        <f>SUMPRODUCT(AC111:AC116,E111:E116)</f>
        <v>0</v>
      </c>
    </row>
    <row r="112" spans="2:31" s="87" customFormat="1" ht="18" customHeight="1">
      <c r="B112" s="93"/>
      <c r="C112" s="89"/>
      <c r="D112" s="94" t="s">
        <v>8</v>
      </c>
      <c r="E112" s="94"/>
      <c r="F112" s="95"/>
      <c r="G112" s="95"/>
      <c r="H112" s="95"/>
      <c r="I112" s="95"/>
      <c r="J112" s="97">
        <f>J111</f>
        <v>90</v>
      </c>
      <c r="K112" s="453"/>
      <c r="L112" s="488"/>
      <c r="M112" s="479"/>
      <c r="N112" s="470"/>
      <c r="O112" s="470"/>
      <c r="P112" s="470"/>
      <c r="Q112" s="470"/>
      <c r="R112" s="472"/>
      <c r="S112" s="472"/>
      <c r="T112" s="499" t="e">
        <f>IF(T111&lt;$E$37,$D$37,IF(T111&lt;$G$37,$F$37,IF(T111&lt;$I$37,$H$37,IF(T111&lt;$K$37,$J$37,IF(T111&lt;$M$37,$L$37,IF(T111&lt;$O$37,$N$37,$P$37))))))</f>
        <v>#NUM!</v>
      </c>
      <c r="U112" s="500"/>
      <c r="V112" s="499" t="e">
        <f>IF(V111&lt;$E$37,$D$37,IF(V111&lt;$G$37,$F$37,IF(V111&lt;$I$37,$H$37,IF(V111&lt;$K$37,$J$37,IF(V111&lt;$M$37,$L$37,IF(V111&lt;$O$37,$N$37,$P$37))))))</f>
        <v>#NUM!</v>
      </c>
      <c r="W112" s="500"/>
      <c r="X112" s="499" t="e">
        <f>IF(X111&lt;$E$37,$D$37,IF(X111&lt;$G$37,$F$37,IF(X111&lt;$I$37,$H$37,IF(X111&lt;$K$37,$J$37,IF(X111&lt;$M$37,$L$37,IF(X111&lt;$O$37,$N$37,$P$37))))))</f>
        <v>#VALUE!</v>
      </c>
      <c r="Y112" s="500"/>
      <c r="Z112" s="85"/>
      <c r="AB112" s="72">
        <f t="shared" si="12"/>
      </c>
      <c r="AC112" s="72">
        <f t="shared" si="13"/>
      </c>
      <c r="AD112" s="492"/>
      <c r="AE112" s="474"/>
    </row>
    <row r="113" spans="2:31" s="87" customFormat="1" ht="18" customHeight="1">
      <c r="B113" s="93"/>
      <c r="C113" s="89"/>
      <c r="D113" s="84" t="s">
        <v>34</v>
      </c>
      <c r="E113" s="94"/>
      <c r="F113" s="95"/>
      <c r="G113" s="95"/>
      <c r="H113" s="95"/>
      <c r="I113" s="95"/>
      <c r="J113" s="97">
        <f>J112</f>
        <v>90</v>
      </c>
      <c r="K113" s="89"/>
      <c r="L113" s="89"/>
      <c r="M113" s="89"/>
      <c r="N113" s="114" t="s">
        <v>35</v>
      </c>
      <c r="O113" s="115"/>
      <c r="P113" s="116"/>
      <c r="Q113" s="116"/>
      <c r="R113" s="225" t="e">
        <f>IF(AND(X111&gt;$E$37,Z111&gt;$I$37/$K$37/($E$37/$O$37)),"Less conservative clinical: '"&amp;T112&amp;" beneficial, consider using' because odds ratio is &gt;"&amp;ROUND($I$37/$K$37/($E$37/$O$37),1)&amp;".","")</f>
        <v>#VALUE!</v>
      </c>
      <c r="S113" s="116"/>
      <c r="T113" s="116"/>
      <c r="U113" s="116"/>
      <c r="V113" s="116"/>
      <c r="W113" s="116"/>
      <c r="X113" s="116"/>
      <c r="Y113" s="117"/>
      <c r="Z113" s="85"/>
      <c r="AB113" s="72">
        <f t="shared" si="12"/>
      </c>
      <c r="AC113" s="72">
        <f t="shared" si="13"/>
      </c>
      <c r="AD113" s="118" t="s">
        <v>5</v>
      </c>
      <c r="AE113" s="119" t="s">
        <v>46</v>
      </c>
    </row>
    <row r="114" spans="2:31" s="87" customFormat="1" ht="18" customHeight="1">
      <c r="B114" s="93"/>
      <c r="C114" s="89"/>
      <c r="D114" s="84" t="s">
        <v>37</v>
      </c>
      <c r="E114" s="94"/>
      <c r="F114" s="95"/>
      <c r="G114" s="95"/>
      <c r="H114" s="95"/>
      <c r="I114" s="95"/>
      <c r="J114" s="97">
        <f>J113</f>
        <v>90</v>
      </c>
      <c r="K114" s="89"/>
      <c r="L114" s="89"/>
      <c r="M114" s="89"/>
      <c r="N114" s="450" t="e">
        <f>EXP(AE114)</f>
        <v>#DIV/0!</v>
      </c>
      <c r="O114" s="450" t="e">
        <f>EXP(AE114+NORMSINV((100-K111)/200)*AD114)</f>
        <v>#DIV/0!</v>
      </c>
      <c r="P114" s="450" t="e">
        <f>EXP(AE114-NORMSINV((100-K111)/200)*AD114)</f>
        <v>#DIV/0!</v>
      </c>
      <c r="Q114" s="450" t="e">
        <f>SQRT(P114/O114)</f>
        <v>#DIV/0!</v>
      </c>
      <c r="R114" s="476" t="e">
        <f>IF(T114&lt;$I$37,IF(MAX(V114,X114)=V114,V115&amp;" trivial; don't use",X115&amp;" harmful; don't use"),IF(X114&lt;$E$37,T115&amp;" beneficial; consider using","unclear; don't use; get more data"))</f>
        <v>#DIV/0!</v>
      </c>
      <c r="S114" s="476" t="e">
        <f>IF(MIN(T114,X114)&gt;$G$37,"unclear; get more data",IF(MAX(T114,V114,X114)=T114,T115&amp;" "&amp;L110,IF(MAX(T114,V114,X114)=V114,V115&amp;" trivial",X115&amp;" "&amp;M110)))</f>
        <v>#DIV/0!</v>
      </c>
      <c r="T114" s="128" t="e">
        <f>IF(L111&gt;1,NORMSDIST((AE114-LN(L111))/AD114),1-NORMSDIST((AE114-LN(L111))/AD114))*100</f>
        <v>#DIV/0!</v>
      </c>
      <c r="U114" s="129" t="s">
        <v>65</v>
      </c>
      <c r="V114" s="128" t="e">
        <f>100-T114-X114</f>
        <v>#DIV/0!</v>
      </c>
      <c r="W114" s="129" t="s">
        <v>65</v>
      </c>
      <c r="X114" s="128" t="e">
        <f>IF(M111&gt;1,NORMSDIST((AE114-LN(M111))/AD114),1-NORMSDIST((AE114-LN(M111))/AD114))*100</f>
        <v>#DIV/0!</v>
      </c>
      <c r="Y114" s="129" t="s">
        <v>65</v>
      </c>
      <c r="Z114" s="186" t="e">
        <f>T114/(100-T114)/(X114/(100-X114))</f>
        <v>#DIV/0!</v>
      </c>
      <c r="AB114" s="72">
        <f t="shared" si="12"/>
      </c>
      <c r="AC114" s="72">
        <f t="shared" si="13"/>
      </c>
      <c r="AD114" s="492" t="e">
        <f>SQRT(SUMPRODUCT(AB111:AB116,AB111:AB116))/COUNT(F111:F116)</f>
        <v>#DIV/0!</v>
      </c>
      <c r="AE114" s="474" t="e">
        <f>AVERAGE(AC111:AC116)</f>
        <v>#DIV/0!</v>
      </c>
    </row>
    <row r="115" spans="2:31" s="87" customFormat="1" ht="18" customHeight="1">
      <c r="B115" s="93"/>
      <c r="C115" s="89"/>
      <c r="D115" s="84" t="s">
        <v>38</v>
      </c>
      <c r="E115" s="94"/>
      <c r="F115" s="95"/>
      <c r="G115" s="95"/>
      <c r="H115" s="95"/>
      <c r="I115" s="95"/>
      <c r="J115" s="97">
        <f>J114</f>
        <v>90</v>
      </c>
      <c r="K115" s="89"/>
      <c r="L115" s="89"/>
      <c r="M115" s="89"/>
      <c r="N115" s="451"/>
      <c r="O115" s="451"/>
      <c r="P115" s="451"/>
      <c r="Q115" s="451"/>
      <c r="R115" s="476"/>
      <c r="S115" s="476"/>
      <c r="T115" s="489" t="e">
        <f>IF(T114&lt;$E$37,$D$37,IF(T114&lt;$G$37,$F$37,IF(T114&lt;$I$37,$H$37,IF(T114&lt;$K$37,$J$37,IF(T114&lt;$M$37,$L$37,IF(T114&lt;$O$37,$N$37,$P$37))))))</f>
        <v>#DIV/0!</v>
      </c>
      <c r="U115" s="490"/>
      <c r="V115" s="489" t="e">
        <f>IF(V114&lt;$E$37,$D$37,IF(V114&lt;$G$37,$F$37,IF(V114&lt;$I$37,$H$37,IF(V114&lt;$K$37,$J$37,IF(V114&lt;$M$37,$L$37,IF(V114&lt;$O$37,$N$37,$P$37))))))</f>
        <v>#DIV/0!</v>
      </c>
      <c r="W115" s="490"/>
      <c r="X115" s="489" t="e">
        <f>IF(X114&lt;$E$37,$D$37,IF(X114&lt;$G$37,$F$37,IF(X114&lt;$I$37,$H$37,IF(X114&lt;$K$37,$J$37,IF(X114&lt;$M$37,$L$37,IF(X114&lt;$O$37,$N$37,$P$37))))))</f>
        <v>#DIV/0!</v>
      </c>
      <c r="Y115" s="490"/>
      <c r="Z115" s="85"/>
      <c r="AB115" s="72">
        <f t="shared" si="12"/>
      </c>
      <c r="AC115" s="72">
        <f t="shared" si="13"/>
      </c>
      <c r="AD115" s="492"/>
      <c r="AE115" s="474"/>
    </row>
    <row r="116" spans="2:29" s="87" customFormat="1" ht="18" customHeight="1">
      <c r="B116" s="83"/>
      <c r="C116" s="121"/>
      <c r="D116" s="84" t="s">
        <v>39</v>
      </c>
      <c r="E116" s="94"/>
      <c r="F116" s="95"/>
      <c r="G116" s="95"/>
      <c r="H116" s="95"/>
      <c r="I116" s="95"/>
      <c r="J116" s="97">
        <f>J115</f>
        <v>90</v>
      </c>
      <c r="K116" s="120"/>
      <c r="L116" s="120"/>
      <c r="M116" s="120"/>
      <c r="N116" s="120"/>
      <c r="O116" s="120"/>
      <c r="P116" s="120"/>
      <c r="Q116" s="120"/>
      <c r="R116" s="225" t="e">
        <f>IF(AND(X114&gt;$E$37,Z114&gt;$I$37/$K$37/($E$37/$O$37)),"Less conservative clinical: '"&amp;T115&amp;" beneficial, consider using' because odds ratio is &gt;"&amp;ROUND($I$37/$K$37/($E$37/$O$37),1)&amp;".","")</f>
        <v>#DIV/0!</v>
      </c>
      <c r="S116" s="436"/>
      <c r="T116" s="436"/>
      <c r="U116" s="436"/>
      <c r="V116" s="436"/>
      <c r="W116" s="436"/>
      <c r="X116" s="436"/>
      <c r="Y116" s="436"/>
      <c r="Z116" s="122"/>
      <c r="AB116" s="72">
        <f t="shared" si="12"/>
      </c>
      <c r="AC116" s="72">
        <f t="shared" si="13"/>
      </c>
    </row>
    <row r="117" spans="2:28" ht="12" customHeight="1" thickBot="1">
      <c r="B117" s="63"/>
      <c r="C117" s="64"/>
      <c r="D117" s="64"/>
      <c r="E117" s="70" t="str">
        <f>IF(AND(COUNTIF(E111:E116,"=1")=SUM(E111:E116),SUM(E111:E116)&gt;1),"Decision is for the addition (simultaneous use) of effects marked with 1s",IF(SUMPRODUCT(E111:E116,E111:E116)&gt;2,"ERROR: bad weights",IF(OR(SUM(E111:E116)=1,SUM(E111:E116)=0),"Good weights","ERROR: weights do not add to 1 or 0")))</f>
        <v>Good weights</v>
      </c>
      <c r="F117" s="64"/>
      <c r="G117" s="64"/>
      <c r="H117" s="64"/>
      <c r="I117" s="64"/>
      <c r="J117" s="64"/>
      <c r="K117" s="64"/>
      <c r="L117" s="64"/>
      <c r="M117" s="64"/>
      <c r="N117" s="64"/>
      <c r="O117" s="64"/>
      <c r="P117" s="64"/>
      <c r="Q117" s="64"/>
      <c r="R117" s="64"/>
      <c r="S117" s="64"/>
      <c r="T117" s="64"/>
      <c r="U117" s="64"/>
      <c r="V117" s="64"/>
      <c r="W117" s="64"/>
      <c r="X117" s="64"/>
      <c r="Y117" s="64"/>
      <c r="Z117" s="65"/>
      <c r="AB117" s="1"/>
    </row>
    <row r="118" ht="13.5" thickBot="1">
      <c r="Z118" s="13"/>
    </row>
    <row r="119" spans="2:30" s="21" customFormat="1" ht="15.75" customHeight="1">
      <c r="B119" s="171" t="s">
        <v>104</v>
      </c>
      <c r="C119" s="168"/>
      <c r="D119" s="168"/>
      <c r="E119" s="164"/>
      <c r="F119" s="166"/>
      <c r="G119" s="166"/>
      <c r="H119" s="166"/>
      <c r="I119" s="166"/>
      <c r="J119" s="166"/>
      <c r="K119" s="166"/>
      <c r="L119" s="166"/>
      <c r="M119" s="166"/>
      <c r="N119" s="166"/>
      <c r="O119" s="166"/>
      <c r="P119" s="166"/>
      <c r="Q119" s="166"/>
      <c r="R119" s="166"/>
      <c r="S119" s="166"/>
      <c r="T119" s="166"/>
      <c r="U119" s="166"/>
      <c r="V119" s="166"/>
      <c r="W119" s="166"/>
      <c r="X119" s="166"/>
      <c r="Y119" s="166"/>
      <c r="Z119" s="170"/>
      <c r="AB119" s="2"/>
      <c r="AC119" s="9"/>
      <c r="AD119" s="9"/>
    </row>
    <row r="120" spans="2:30" ht="12.75" customHeight="1">
      <c r="B120" s="141" t="s">
        <v>217</v>
      </c>
      <c r="C120" s="21"/>
      <c r="D120" s="2"/>
      <c r="E120" s="2"/>
      <c r="F120" s="12"/>
      <c r="G120" s="12"/>
      <c r="H120" s="12"/>
      <c r="I120" s="12"/>
      <c r="J120" s="12"/>
      <c r="K120" s="12"/>
      <c r="L120" s="12"/>
      <c r="M120" s="12"/>
      <c r="N120" s="12"/>
      <c r="O120" s="12"/>
      <c r="P120" s="12"/>
      <c r="Q120" s="12"/>
      <c r="R120" s="12"/>
      <c r="S120" s="12"/>
      <c r="T120" s="12"/>
      <c r="U120" s="12"/>
      <c r="V120" s="12"/>
      <c r="W120" s="12"/>
      <c r="X120" s="12"/>
      <c r="Y120" s="12"/>
      <c r="Z120" s="52"/>
      <c r="AB120" s="1"/>
      <c r="AC120" s="11"/>
      <c r="AD120" s="11"/>
    </row>
    <row r="121" spans="2:30" ht="9" customHeight="1">
      <c r="B121" s="59"/>
      <c r="C121" s="30"/>
      <c r="D121" s="60"/>
      <c r="E121" s="60"/>
      <c r="F121" s="30"/>
      <c r="G121" s="30"/>
      <c r="H121" s="30"/>
      <c r="I121" s="30"/>
      <c r="J121" s="30"/>
      <c r="K121" s="30"/>
      <c r="L121" s="30"/>
      <c r="M121" s="30"/>
      <c r="N121" s="30"/>
      <c r="O121" s="30"/>
      <c r="P121" s="30"/>
      <c r="Q121" s="30"/>
      <c r="R121" s="30"/>
      <c r="S121" s="30"/>
      <c r="T121" s="30"/>
      <c r="U121" s="30"/>
      <c r="V121" s="30"/>
      <c r="W121" s="30"/>
      <c r="X121" s="30"/>
      <c r="Y121" s="30"/>
      <c r="Z121" s="45"/>
      <c r="AB121" s="1"/>
      <c r="AC121" s="1"/>
      <c r="AD121" s="1"/>
    </row>
    <row r="122" spans="2:32" ht="12.75" customHeight="1">
      <c r="B122" s="59"/>
      <c r="C122" s="446" t="s">
        <v>105</v>
      </c>
      <c r="D122" s="447"/>
      <c r="E122" s="447"/>
      <c r="F122" s="447"/>
      <c r="G122" s="447"/>
      <c r="H122" s="447"/>
      <c r="I122" s="447"/>
      <c r="J122" s="447"/>
      <c r="K122" s="448"/>
      <c r="L122" s="497" t="s">
        <v>67</v>
      </c>
      <c r="M122" s="498"/>
      <c r="N122" s="446" t="s">
        <v>140</v>
      </c>
      <c r="O122" s="447"/>
      <c r="P122" s="447"/>
      <c r="Q122" s="447"/>
      <c r="R122" s="447"/>
      <c r="S122" s="448"/>
      <c r="T122" s="516" t="s">
        <v>64</v>
      </c>
      <c r="U122" s="517"/>
      <c r="V122" s="517"/>
      <c r="W122" s="517"/>
      <c r="X122" s="517"/>
      <c r="Y122" s="518"/>
      <c r="Z122" s="45"/>
      <c r="AB122" s="1"/>
      <c r="AC122" s="1"/>
      <c r="AD122" s="1"/>
      <c r="AE122" s="1"/>
      <c r="AF122" s="1"/>
    </row>
    <row r="123" spans="2:31" ht="12.75" customHeight="1">
      <c r="B123" s="59"/>
      <c r="C123" s="550" t="s">
        <v>18</v>
      </c>
      <c r="D123" s="542" t="s">
        <v>41</v>
      </c>
      <c r="E123" s="456" t="s">
        <v>30</v>
      </c>
      <c r="F123" s="172" t="s">
        <v>108</v>
      </c>
      <c r="G123" s="458" t="s">
        <v>194</v>
      </c>
      <c r="H123" s="459"/>
      <c r="I123" s="460"/>
      <c r="J123" s="463" t="s">
        <v>185</v>
      </c>
      <c r="K123" s="463"/>
      <c r="L123" s="102" t="s">
        <v>72</v>
      </c>
      <c r="M123" s="103" t="s">
        <v>73</v>
      </c>
      <c r="N123" s="23" t="s">
        <v>19</v>
      </c>
      <c r="O123" s="458" t="str">
        <f>K125&amp;"% compatibility limits"</f>
        <v>90% compatibility limits</v>
      </c>
      <c r="P123" s="459"/>
      <c r="Q123" s="460"/>
      <c r="R123" s="497" t="s">
        <v>162</v>
      </c>
      <c r="S123" s="498"/>
      <c r="T123" s="504" t="str">
        <f>"...beneficial or
substantially "&amp;L124</f>
        <v>...beneficial or
substantially +ive</v>
      </c>
      <c r="U123" s="505"/>
      <c r="V123" s="508" t="s">
        <v>70</v>
      </c>
      <c r="W123" s="509"/>
      <c r="X123" s="512" t="str">
        <f>"...harmful or 
substantially "&amp;M124</f>
        <v>...harmful or 
substantially –ive</v>
      </c>
      <c r="Y123" s="513"/>
      <c r="Z123" s="461" t="s">
        <v>125</v>
      </c>
      <c r="AB123" s="1"/>
      <c r="AC123" s="2"/>
      <c r="AD123" s="2"/>
      <c r="AE123" s="1"/>
    </row>
    <row r="124" spans="2:35" ht="13.5" customHeight="1">
      <c r="B124" s="59"/>
      <c r="C124" s="551"/>
      <c r="D124" s="543"/>
      <c r="E124" s="457"/>
      <c r="F124" s="25" t="s">
        <v>109</v>
      </c>
      <c r="G124" s="38" t="s">
        <v>15</v>
      </c>
      <c r="H124" s="39" t="s">
        <v>16</v>
      </c>
      <c r="I124" s="37" t="s">
        <v>101</v>
      </c>
      <c r="J124" s="24" t="s">
        <v>3</v>
      </c>
      <c r="K124" s="25" t="s">
        <v>20</v>
      </c>
      <c r="L124" s="104" t="str">
        <f>IF(ISBLANK(L125),"???",IF(L125&lt;0,"–ive","+ive"))</f>
        <v>+ive</v>
      </c>
      <c r="M124" s="105" t="str">
        <f>IF(TYPE(M125)=2,"???",IF(M125&lt;0,"–ive","+ive"))</f>
        <v>–ive</v>
      </c>
      <c r="N124" s="19" t="s">
        <v>31</v>
      </c>
      <c r="O124" s="25" t="s">
        <v>0</v>
      </c>
      <c r="P124" s="25" t="s">
        <v>1</v>
      </c>
      <c r="Q124" s="22" t="s">
        <v>2</v>
      </c>
      <c r="R124" s="82" t="s">
        <v>66</v>
      </c>
      <c r="S124" s="74" t="s">
        <v>138</v>
      </c>
      <c r="T124" s="506"/>
      <c r="U124" s="507"/>
      <c r="V124" s="531"/>
      <c r="W124" s="532"/>
      <c r="X124" s="529"/>
      <c r="Y124" s="530"/>
      <c r="Z124" s="462"/>
      <c r="AB124" s="3" t="s">
        <v>106</v>
      </c>
      <c r="AC124" s="3" t="s">
        <v>107</v>
      </c>
      <c r="AD124" s="4" t="s">
        <v>110</v>
      </c>
      <c r="AE124" s="5" t="s">
        <v>111</v>
      </c>
      <c r="AF124" s="192" t="s">
        <v>142</v>
      </c>
      <c r="AG124" s="194" t="s">
        <v>143</v>
      </c>
      <c r="AH124" s="194" t="s">
        <v>144</v>
      </c>
      <c r="AI124" s="195" t="s">
        <v>145</v>
      </c>
    </row>
    <row r="125" spans="2:35" s="87" customFormat="1" ht="18" customHeight="1">
      <c r="B125" s="93"/>
      <c r="C125" s="94" t="s">
        <v>7</v>
      </c>
      <c r="D125" s="94">
        <v>-0.33</v>
      </c>
      <c r="E125" s="98">
        <v>0.2</v>
      </c>
      <c r="F125" s="99">
        <v>50</v>
      </c>
      <c r="G125" s="98"/>
      <c r="H125" s="98"/>
      <c r="I125" s="75"/>
      <c r="J125" s="96">
        <v>90</v>
      </c>
      <c r="K125" s="452">
        <f>100-2*$G$37</f>
        <v>90</v>
      </c>
      <c r="L125" s="488">
        <v>0.1</v>
      </c>
      <c r="M125" s="478">
        <f>IF(ISBLANK(L125),"",-L125)</f>
        <v>-0.1</v>
      </c>
      <c r="N125" s="481">
        <f>FISHERINV(AE125+FISHER(AI125))-AI125</f>
        <v>0.18356338770123592</v>
      </c>
      <c r="O125" s="481">
        <f>AH125+NORMSINV((100-K125)/200)*AG125</f>
        <v>-0.004132130882630258</v>
      </c>
      <c r="P125" s="481">
        <f>AH125-NORMSINV((100-K125)/200)*AG125</f>
        <v>0.3712589062851021</v>
      </c>
      <c r="Q125" s="481">
        <f>IF(ISBLANK(AI125),"",(P125-O125)/2)</f>
        <v>0.18769551858386618</v>
      </c>
      <c r="R125" s="471" t="str">
        <f>IF(ISBLANK(AI125),"",IF(T125&lt;$I$37,IF(MAX(V125,X125)=V125,V126&amp;" trivial; don't use",X126&amp;" harmful; don't use"),IF(X125&lt;$E$37,T126&amp;" beneficial; consider using","unclear; don't use; get more data")))</f>
        <v>unclear; don't use; get more data</v>
      </c>
      <c r="S125" s="471" t="str">
        <f>IF(ISBLANK(AI125),"",IF(MIN(T125,X125)&gt;$G$37,"unclear; get more data",IF(MAX(T125,V125,X125)=T125,T126&amp;" "&amp;L124,IF(MAX(T125,V125,X125)=V125,V126&amp;" trivial",X126&amp;" "&amp;M124))))</f>
        <v>likely +ive</v>
      </c>
      <c r="T125" s="126">
        <f>IF(L125&gt;0,NORMSDIST((AH125-L125)/AG125),1-NORMSDIST((AH125-L125)/AG125))*100</f>
        <v>76.80074441559353</v>
      </c>
      <c r="U125" s="127" t="s">
        <v>65</v>
      </c>
      <c r="V125" s="126">
        <f>IF(ISBLANK(AI125),"",100-T125-X125)</f>
        <v>22.551468387384176</v>
      </c>
      <c r="W125" s="127" t="s">
        <v>65</v>
      </c>
      <c r="X125" s="126">
        <f>IF(M125&gt;0,NORMSDIST((AH125-M125)/AG125),1-NORMSDIST((AH125-M125)/AG125))*100</f>
        <v>0.6477871970222981</v>
      </c>
      <c r="Y125" s="127" t="s">
        <v>65</v>
      </c>
      <c r="Z125" s="185">
        <f>T125/(100-T125)/(X125/(100-X125))</f>
        <v>507.7343712150342</v>
      </c>
      <c r="AB125" s="72">
        <f aca="true" t="shared" si="14" ref="AB125:AB130">IF(ISNUMBER(E125),IF(ISNUMBER(F125),1/SQRT(F125-3),IF(AND(ISNUMBER(I125),J125&gt;0),-(FISHER(E125+I125)-FISHER(E125-I125))/2/NORMSINV((100-J125)/200),IF(AND(ISNUMBER(H125),ISNUMBER(G125),J125&gt;0),-(FISHER(H125)-FISHER(G125))/2/NORMSINV((100-J125)/200),1/0))),"")</f>
        <v>0.14586499149789456</v>
      </c>
      <c r="AC125" s="72">
        <f aca="true" t="shared" si="15" ref="AC125:AC130">IF(ISBLANK(E125),"",FISHER(E125))</f>
        <v>0.2027325540540821</v>
      </c>
      <c r="AD125" s="474">
        <f>IF(SUM(AB125:AB130)&gt;0,SQRT(SUMPRODUCT(AB125:AB130,AB125:AB130,D125:D130,D125:D130)),"")</f>
        <v>0.1289719347265366</v>
      </c>
      <c r="AE125" s="474">
        <f>SUMPRODUCT(AC125:AC130,D125:D130)</f>
        <v>0.20746967763952534</v>
      </c>
      <c r="AF125" s="193">
        <f aca="true" t="shared" si="16" ref="AF125:AF130">IF(D125&lt;0,D125,"")</f>
        <v>-0.33</v>
      </c>
      <c r="AG125" s="537">
        <f>N125/(AE125/AD125)</f>
        <v>0.11411077284228384</v>
      </c>
      <c r="AH125" s="538">
        <f>N125</f>
        <v>0.18356338770123592</v>
      </c>
      <c r="AI125" s="196">
        <f>IF(SUM(AF125:AF130)=0,0,FISHERINV(-SUMPRODUCT(AF125:AF130,AC125:AC130)))</f>
        <v>0.24137505728890501</v>
      </c>
    </row>
    <row r="126" spans="2:34" s="87" customFormat="1" ht="18" customHeight="1">
      <c r="B126" s="93"/>
      <c r="C126" s="94" t="s">
        <v>8</v>
      </c>
      <c r="D126" s="94">
        <v>-0.33</v>
      </c>
      <c r="E126" s="98">
        <v>0.21</v>
      </c>
      <c r="F126" s="99"/>
      <c r="G126" s="98">
        <v>-0.06</v>
      </c>
      <c r="H126" s="98">
        <v>0.45</v>
      </c>
      <c r="I126" s="75"/>
      <c r="J126" s="97">
        <f>J125</f>
        <v>90</v>
      </c>
      <c r="K126" s="453"/>
      <c r="L126" s="488"/>
      <c r="M126" s="479"/>
      <c r="N126" s="482"/>
      <c r="O126" s="482"/>
      <c r="P126" s="482"/>
      <c r="Q126" s="541"/>
      <c r="R126" s="472"/>
      <c r="S126" s="472"/>
      <c r="T126" s="499" t="str">
        <f>IF(T125&lt;$E$37,$D$37,IF(T125&lt;$G$37,$F$37,IF(T125&lt;$I$37,$H$37,IF(T125&lt;$K$37,$J$37,IF(T125&lt;$M$37,$L$37,IF(T125&lt;$O$37,$N$37,$P$37))))))</f>
        <v>likely</v>
      </c>
      <c r="U126" s="500"/>
      <c r="V126" s="499" t="str">
        <f>IF(V125&lt;$E$37,$D$37,IF(V125&lt;$G$37,$F$37,IF(V125&lt;$I$37,$H$37,IF(V125&lt;$K$37,$J$37,IF(V125&lt;$M$37,$L$37,IF(V125&lt;$O$37,$N$37,$P$37))))))</f>
        <v>unlikely</v>
      </c>
      <c r="W126" s="500"/>
      <c r="X126" s="499" t="str">
        <f>IF(X125&lt;$E$37,$D$37,IF(X125&lt;$G$37,$F$37,IF(X125&lt;$I$37,$H$37,IF(X125&lt;$K$37,$J$37,IF(X125&lt;$M$37,$L$37,IF(X125&lt;$O$37,$N$37,$P$37))))))</f>
        <v>very unlikely</v>
      </c>
      <c r="Y126" s="500"/>
      <c r="Z126" s="85"/>
      <c r="AB126" s="72">
        <f t="shared" si="14"/>
        <v>0.16559906170032587</v>
      </c>
      <c r="AC126" s="72">
        <f t="shared" si="15"/>
        <v>0.21317134656485978</v>
      </c>
      <c r="AD126" s="474"/>
      <c r="AE126" s="474"/>
      <c r="AF126" s="193">
        <f t="shared" si="16"/>
        <v>-0.33</v>
      </c>
      <c r="AG126" s="537"/>
      <c r="AH126" s="538"/>
    </row>
    <row r="127" spans="2:35" s="87" customFormat="1" ht="18" customHeight="1">
      <c r="B127" s="93"/>
      <c r="C127" s="84" t="s">
        <v>34</v>
      </c>
      <c r="D127" s="94">
        <v>-0.34</v>
      </c>
      <c r="E127" s="98">
        <v>0.31</v>
      </c>
      <c r="F127" s="99"/>
      <c r="G127" s="98"/>
      <c r="H127" s="98"/>
      <c r="I127" s="75">
        <v>0.23</v>
      </c>
      <c r="J127" s="97">
        <f>J126</f>
        <v>90</v>
      </c>
      <c r="K127" s="89"/>
      <c r="L127" s="89"/>
      <c r="M127" s="89"/>
      <c r="N127" s="114" t="s">
        <v>35</v>
      </c>
      <c r="O127" s="115"/>
      <c r="P127" s="116"/>
      <c r="Q127" s="116"/>
      <c r="R127" s="225" t="str">
        <f>IF(AND(X125&gt;$E$37,Z125&gt;$I$37/$K$37/($E$37/$O$37)),"Less conservative clinical: '"&amp;T126&amp;" beneficial, consider using' because odds ratio is &gt;"&amp;ROUND($I$37/$K$37/($E$37/$O$37),1)&amp;".","")</f>
        <v>Less conservative clinical: 'likely beneficial, consider using' because odds ratio is &gt;66.3.</v>
      </c>
      <c r="S127" s="116"/>
      <c r="T127" s="116"/>
      <c r="U127" s="116"/>
      <c r="V127" s="116"/>
      <c r="W127" s="116"/>
      <c r="X127" s="116"/>
      <c r="Y127" s="117"/>
      <c r="Z127" s="85"/>
      <c r="AB127" s="72">
        <f t="shared" si="14"/>
        <v>0.15927991078933137</v>
      </c>
      <c r="AC127" s="72">
        <f t="shared" si="15"/>
        <v>0.32054540930194614</v>
      </c>
      <c r="AD127" s="4" t="s">
        <v>112</v>
      </c>
      <c r="AE127" s="5" t="s">
        <v>113</v>
      </c>
      <c r="AF127" s="193">
        <f t="shared" si="16"/>
        <v>-0.34</v>
      </c>
      <c r="AG127" s="194" t="s">
        <v>143</v>
      </c>
      <c r="AH127" s="194" t="s">
        <v>144</v>
      </c>
      <c r="AI127"/>
    </row>
    <row r="128" spans="2:35" s="87" customFormat="1" ht="18" customHeight="1">
      <c r="B128" s="93"/>
      <c r="C128" s="84" t="s">
        <v>37</v>
      </c>
      <c r="D128" s="94">
        <v>0.33</v>
      </c>
      <c r="E128" s="98">
        <v>0.41</v>
      </c>
      <c r="F128" s="99">
        <v>61</v>
      </c>
      <c r="G128" s="98"/>
      <c r="H128" s="98"/>
      <c r="I128" s="75"/>
      <c r="J128" s="97">
        <f>J127</f>
        <v>90</v>
      </c>
      <c r="K128" s="89"/>
      <c r="L128" s="89"/>
      <c r="M128" s="89"/>
      <c r="N128" s="485">
        <f>FISHERINV(AE128)</f>
        <v>0.33641013948326526</v>
      </c>
      <c r="O128" s="485">
        <f>AH128+NORMSINV((100-K125)/200)*AG128</f>
        <v>0.23449025072163698</v>
      </c>
      <c r="P128" s="485">
        <f>AH128-NORMSINV((100-K125)/200)*AG128</f>
        <v>0.43833002824489353</v>
      </c>
      <c r="Q128" s="485">
        <f>(P128-O128)/2</f>
        <v>0.10191988876162827</v>
      </c>
      <c r="R128" s="476" t="str">
        <f>IF(T128&lt;$I$37,IF(MAX(V128,X128)=V128,V129&amp;" trivial; don't use",X129&amp;" harmful; don't use"),IF(X128&lt;$E$37,T129&amp;" beneficial; consider using","unclear; don't use; get more data"))</f>
        <v>most likely beneficial; consider using</v>
      </c>
      <c r="S128" s="476" t="str">
        <f>IF(MIN(T128,X128)&gt;$G$37,"unclear; get more data",IF(MAX(T128,V128,X128)=T128,T129&amp;" "&amp;L124,IF(MAX(T128,V128,X128)=V128,V129&amp;" trivial",X129&amp;" "&amp;M124)))</f>
        <v>most likely +ive</v>
      </c>
      <c r="T128" s="128">
        <f>IF(L125&gt;0,NORMSDIST((AH128-L125)/AG128),1-NORMSDIST((AH128-L125)/AG128))*100</f>
        <v>99.99320050530176</v>
      </c>
      <c r="U128" s="129" t="s">
        <v>65</v>
      </c>
      <c r="V128" s="128">
        <f>100-T128-X128</f>
        <v>0.006799494604228684</v>
      </c>
      <c r="W128" s="129" t="s">
        <v>65</v>
      </c>
      <c r="X128" s="128">
        <f>IF(M125&gt;0,NORMSDIST((AH128-M125)/AG128),1-NORMSDIST((AH128-M125)/AG128))*100</f>
        <v>9.401368572525826E-11</v>
      </c>
      <c r="Y128" s="129" t="s">
        <v>65</v>
      </c>
      <c r="Z128" s="186">
        <f>T128/(100-T128)/(X128/(100-X128))</f>
        <v>15642377065963312</v>
      </c>
      <c r="AB128" s="72">
        <f t="shared" si="14"/>
        <v>0.13130643285972254</v>
      </c>
      <c r="AC128" s="72">
        <f t="shared" si="15"/>
        <v>0.4356112232362243</v>
      </c>
      <c r="AD128" s="474">
        <f>IF(SUM(AB125:AB130)&gt;0,SQRT(SUMPRODUCT(AB125:AB130,AB125:AB130))/COUNT(E125:E130),"")</f>
        <v>0.06447317435385319</v>
      </c>
      <c r="AE128" s="474">
        <f>AVERAGE(AC125:AC130)</f>
        <v>0.3500390094634429</v>
      </c>
      <c r="AF128" s="193">
        <f t="shared" si="16"/>
      </c>
      <c r="AG128" s="537">
        <f>N128/(AE128/AD128)</f>
        <v>0.06196289268031944</v>
      </c>
      <c r="AH128" s="538">
        <f>N128</f>
        <v>0.33641013948326526</v>
      </c>
      <c r="AI128"/>
    </row>
    <row r="129" spans="2:35" s="87" customFormat="1" ht="18" customHeight="1">
      <c r="B129" s="93"/>
      <c r="C129" s="84" t="s">
        <v>38</v>
      </c>
      <c r="D129" s="94">
        <v>0.33</v>
      </c>
      <c r="E129" s="98">
        <v>0.51</v>
      </c>
      <c r="F129" s="99">
        <v>33</v>
      </c>
      <c r="G129" s="98"/>
      <c r="H129" s="98"/>
      <c r="I129" s="75"/>
      <c r="J129" s="97">
        <f>J128</f>
        <v>90</v>
      </c>
      <c r="K129" s="89"/>
      <c r="L129" s="89"/>
      <c r="M129" s="89"/>
      <c r="N129" s="486"/>
      <c r="O129" s="486"/>
      <c r="P129" s="486"/>
      <c r="Q129" s="486"/>
      <c r="R129" s="476"/>
      <c r="S129" s="476"/>
      <c r="T129" s="489" t="str">
        <f>IF(T128&lt;$E$37,$D$37,IF(T128&lt;$G$37,$F$37,IF(T128&lt;$I$37,$H$37,IF(T128&lt;$K$37,$J$37,IF(T128&lt;$M$37,$L$37,IF(T128&lt;$O$37,$N$37,$P$37))))))</f>
        <v>most likely</v>
      </c>
      <c r="U129" s="490"/>
      <c r="V129" s="489" t="str">
        <f>IF(V128&lt;$E$37,$D$37,IF(V128&lt;$G$37,$F$37,IF(V128&lt;$I$37,$H$37,IF(V128&lt;$K$37,$J$37,IF(V128&lt;$M$37,$L$37,IF(V128&lt;$O$37,$N$37,$P$37))))))</f>
        <v>most unlikely</v>
      </c>
      <c r="W129" s="490"/>
      <c r="X129" s="489" t="str">
        <f>IF(X128&lt;$E$37,$D$37,IF(X128&lt;$G$37,$F$37,IF(X128&lt;$I$37,$H$37,IF(X128&lt;$K$37,$J$37,IF(X128&lt;$M$37,$L$37,IF(X128&lt;$O$37,$N$37,$P$37))))))</f>
        <v>most unlikely</v>
      </c>
      <c r="Y129" s="490"/>
      <c r="Z129" s="85"/>
      <c r="AB129" s="72">
        <f t="shared" si="14"/>
        <v>0.18257418583505536</v>
      </c>
      <c r="AC129" s="72">
        <f t="shared" si="15"/>
        <v>0.5627297693521489</v>
      </c>
      <c r="AD129" s="474"/>
      <c r="AE129" s="474"/>
      <c r="AF129" s="193">
        <f t="shared" si="16"/>
      </c>
      <c r="AG129" s="537"/>
      <c r="AH129" s="538"/>
      <c r="AI129"/>
    </row>
    <row r="130" spans="2:32" s="87" customFormat="1" ht="18" customHeight="1">
      <c r="B130" s="83"/>
      <c r="C130" s="84" t="s">
        <v>39</v>
      </c>
      <c r="D130" s="94">
        <v>0.34</v>
      </c>
      <c r="E130" s="98">
        <v>0.35</v>
      </c>
      <c r="F130" s="99">
        <v>43</v>
      </c>
      <c r="G130" s="98"/>
      <c r="H130" s="98"/>
      <c r="I130" s="75"/>
      <c r="J130" s="97">
        <f>J129</f>
        <v>90</v>
      </c>
      <c r="K130" s="120"/>
      <c r="L130" s="120"/>
      <c r="M130" s="120"/>
      <c r="N130" s="120"/>
      <c r="O130" s="120"/>
      <c r="P130" s="120"/>
      <c r="Q130" s="120"/>
      <c r="R130" s="225">
        <f>IF(AND(X128&gt;$E$37,Z128&gt;$I$37/$K$37/($E$37/$O$37)),"Less conservative clinical: '"&amp;T129&amp;" beneficial, consider using' because odds ratio is &gt;"&amp;ROUND($I$37/$K$37/($E$37/$O$37),1)&amp;".","")</f>
      </c>
      <c r="S130" s="202"/>
      <c r="T130" s="202"/>
      <c r="U130" s="202"/>
      <c r="V130" s="202"/>
      <c r="W130" s="202"/>
      <c r="X130" s="202"/>
      <c r="Y130" s="202"/>
      <c r="Z130" s="122"/>
      <c r="AB130" s="72">
        <f t="shared" si="14"/>
        <v>0.15811388300841897</v>
      </c>
      <c r="AC130" s="72">
        <f t="shared" si="15"/>
        <v>0.3654437542713962</v>
      </c>
      <c r="AF130" s="193">
        <f t="shared" si="16"/>
      </c>
    </row>
    <row r="131" spans="2:26" ht="12" customHeight="1">
      <c r="B131" s="61"/>
      <c r="C131" s="40"/>
      <c r="D131" s="68" t="str">
        <f>(IF(SUMPRODUCT(D125:D130,D125:D130)&gt;2,"ERROR: bad weights.  ",IF(OR(AND(SUM(D125:D130)=1,SUM(AF125:AF130)=0),SUM(D125:D130)=0),"Good weights","ERROR: weights do not add to 1 or 0.  "))&amp;(IF(AND(MIN(F125:F130)&lt;4,COUNT(F125:F130)&gt;0),"    ERROR: sample size must be at least 4","")))</f>
        <v>Good weights</v>
      </c>
      <c r="E131" s="40"/>
      <c r="F131" s="68"/>
      <c r="G131" s="40"/>
      <c r="H131" s="40"/>
      <c r="I131" s="40"/>
      <c r="J131" s="40"/>
      <c r="K131" s="40"/>
      <c r="L131" s="40"/>
      <c r="M131" s="40"/>
      <c r="N131" s="555">
        <f>IF(OR(N125=0,N128=0),"If custom or mean effect=0, spreadsheet does not work. Change one correlation by 0.001.","")</f>
      </c>
      <c r="O131" s="556"/>
      <c r="P131" s="556"/>
      <c r="Q131" s="556"/>
      <c r="R131" s="556"/>
      <c r="S131" s="556"/>
      <c r="T131" s="556"/>
      <c r="U131" s="556"/>
      <c r="V131" s="556"/>
      <c r="W131" s="556"/>
      <c r="X131" s="557"/>
      <c r="Y131" s="30"/>
      <c r="Z131" s="45"/>
    </row>
    <row r="132" spans="2:30" ht="9" customHeight="1" thickBot="1">
      <c r="B132" s="59"/>
      <c r="C132" s="30"/>
      <c r="D132" s="60"/>
      <c r="E132" s="60"/>
      <c r="F132" s="30"/>
      <c r="G132" s="30"/>
      <c r="H132" s="30"/>
      <c r="I132" s="30"/>
      <c r="J132" s="30"/>
      <c r="K132" s="30"/>
      <c r="L132" s="30"/>
      <c r="M132" s="30"/>
      <c r="N132" s="30"/>
      <c r="O132" s="30"/>
      <c r="P132" s="30"/>
      <c r="Q132" s="30"/>
      <c r="R132" s="30"/>
      <c r="S132" s="30"/>
      <c r="T132" s="30"/>
      <c r="U132" s="30"/>
      <c r="V132" s="30"/>
      <c r="W132" s="30"/>
      <c r="X132" s="30"/>
      <c r="Y132" s="30"/>
      <c r="Z132" s="45"/>
      <c r="AB132" s="1"/>
      <c r="AC132" s="1"/>
      <c r="AD132" s="1"/>
    </row>
    <row r="133" spans="2:30" ht="9" customHeight="1">
      <c r="B133" s="219"/>
      <c r="C133" s="210"/>
      <c r="D133" s="220"/>
      <c r="E133" s="220"/>
      <c r="F133" s="210"/>
      <c r="G133" s="210"/>
      <c r="H133" s="210"/>
      <c r="I133" s="210"/>
      <c r="J133" s="210"/>
      <c r="K133" s="210"/>
      <c r="L133" s="210"/>
      <c r="M133" s="210"/>
      <c r="N133" s="210"/>
      <c r="O133" s="210"/>
      <c r="P133" s="210"/>
      <c r="Q133" s="210"/>
      <c r="R133" s="210"/>
      <c r="S133" s="210"/>
      <c r="T133" s="210"/>
      <c r="U133" s="210"/>
      <c r="V133" s="210"/>
      <c r="W133" s="210"/>
      <c r="X133" s="210"/>
      <c r="Y133" s="210"/>
      <c r="Z133" s="211"/>
      <c r="AB133" s="1"/>
      <c r="AC133" s="1"/>
      <c r="AD133" s="1"/>
    </row>
    <row r="134" spans="2:31" ht="12.75" customHeight="1">
      <c r="B134" s="59"/>
      <c r="C134" s="446" t="s">
        <v>105</v>
      </c>
      <c r="D134" s="447"/>
      <c r="E134" s="447"/>
      <c r="F134" s="447"/>
      <c r="G134" s="447"/>
      <c r="H134" s="447"/>
      <c r="I134" s="447"/>
      <c r="J134" s="447"/>
      <c r="K134" s="448"/>
      <c r="L134" s="497" t="s">
        <v>67</v>
      </c>
      <c r="M134" s="498"/>
      <c r="N134" s="446" t="s">
        <v>140</v>
      </c>
      <c r="O134" s="447"/>
      <c r="P134" s="447"/>
      <c r="Q134" s="447"/>
      <c r="R134" s="447"/>
      <c r="S134" s="448"/>
      <c r="T134" s="516" t="s">
        <v>64</v>
      </c>
      <c r="U134" s="517"/>
      <c r="V134" s="517"/>
      <c r="W134" s="517"/>
      <c r="X134" s="517"/>
      <c r="Y134" s="518"/>
      <c r="Z134" s="45"/>
      <c r="AB134" s="1"/>
      <c r="AC134" s="1"/>
      <c r="AD134" s="1"/>
      <c r="AE134" s="1"/>
    </row>
    <row r="135" spans="2:31" ht="12.75" customHeight="1">
      <c r="B135" s="59"/>
      <c r="C135" s="449" t="s">
        <v>18</v>
      </c>
      <c r="D135" s="542" t="s">
        <v>41</v>
      </c>
      <c r="E135" s="456" t="s">
        <v>30</v>
      </c>
      <c r="F135" s="172" t="s">
        <v>108</v>
      </c>
      <c r="G135" s="458" t="s">
        <v>194</v>
      </c>
      <c r="H135" s="459"/>
      <c r="I135" s="460"/>
      <c r="J135" s="463" t="s">
        <v>185</v>
      </c>
      <c r="K135" s="463"/>
      <c r="L135" s="102" t="s">
        <v>72</v>
      </c>
      <c r="M135" s="103" t="s">
        <v>73</v>
      </c>
      <c r="N135" s="23" t="s">
        <v>19</v>
      </c>
      <c r="O135" s="458" t="str">
        <f>K137&amp;"% compatibility limits"</f>
        <v>90% compatibility limits</v>
      </c>
      <c r="P135" s="459"/>
      <c r="Q135" s="460"/>
      <c r="R135" s="497" t="s">
        <v>162</v>
      </c>
      <c r="S135" s="498"/>
      <c r="T135" s="504" t="str">
        <f>"...beneficial or
substantially "&amp;L136</f>
        <v>...beneficial or
substantially +ive</v>
      </c>
      <c r="U135" s="505"/>
      <c r="V135" s="508" t="s">
        <v>70</v>
      </c>
      <c r="W135" s="509"/>
      <c r="X135" s="512" t="str">
        <f>"...harmful or 
substantially "&amp;M136</f>
        <v>...harmful or 
substantially –ive</v>
      </c>
      <c r="Y135" s="513"/>
      <c r="Z135" s="461" t="s">
        <v>125</v>
      </c>
      <c r="AB135" s="1"/>
      <c r="AC135" s="2"/>
      <c r="AD135" s="2"/>
      <c r="AE135" s="1"/>
    </row>
    <row r="136" spans="2:35" ht="13.5" customHeight="1">
      <c r="B136" s="59"/>
      <c r="C136" s="449"/>
      <c r="D136" s="543"/>
      <c r="E136" s="457"/>
      <c r="F136" s="25" t="s">
        <v>109</v>
      </c>
      <c r="G136" s="38" t="s">
        <v>15</v>
      </c>
      <c r="H136" s="39" t="s">
        <v>16</v>
      </c>
      <c r="I136" s="37" t="s">
        <v>101</v>
      </c>
      <c r="J136" s="24" t="s">
        <v>3</v>
      </c>
      <c r="K136" s="25" t="s">
        <v>20</v>
      </c>
      <c r="L136" s="104" t="str">
        <f>IF(ISBLANK(L137),"???",IF(L137&lt;0,"–ive","+ive"))</f>
        <v>+ive</v>
      </c>
      <c r="M136" s="105" t="str">
        <f>IF(TYPE(M137)=2,"???",IF(M137&lt;0,"–ive","+ive"))</f>
        <v>–ive</v>
      </c>
      <c r="N136" s="19" t="s">
        <v>31</v>
      </c>
      <c r="O136" s="25" t="s">
        <v>0</v>
      </c>
      <c r="P136" s="25" t="s">
        <v>1</v>
      </c>
      <c r="Q136" s="22" t="s">
        <v>2</v>
      </c>
      <c r="R136" s="82" t="s">
        <v>66</v>
      </c>
      <c r="S136" s="74" t="s">
        <v>138</v>
      </c>
      <c r="T136" s="506"/>
      <c r="U136" s="507"/>
      <c r="V136" s="531"/>
      <c r="W136" s="532"/>
      <c r="X136" s="529"/>
      <c r="Y136" s="530"/>
      <c r="Z136" s="462"/>
      <c r="AB136" s="3" t="s">
        <v>106</v>
      </c>
      <c r="AC136" s="3" t="s">
        <v>107</v>
      </c>
      <c r="AD136" s="4" t="s">
        <v>110</v>
      </c>
      <c r="AE136" s="5" t="s">
        <v>111</v>
      </c>
      <c r="AF136" s="192" t="s">
        <v>142</v>
      </c>
      <c r="AG136" s="194" t="s">
        <v>143</v>
      </c>
      <c r="AH136" s="194" t="s">
        <v>144</v>
      </c>
      <c r="AI136" s="195" t="s">
        <v>145</v>
      </c>
    </row>
    <row r="137" spans="2:35" s="87" customFormat="1" ht="18" customHeight="1">
      <c r="B137" s="93"/>
      <c r="C137" s="94" t="s">
        <v>7</v>
      </c>
      <c r="D137" s="94"/>
      <c r="E137" s="98"/>
      <c r="F137" s="99"/>
      <c r="G137" s="98"/>
      <c r="H137" s="98"/>
      <c r="I137" s="75"/>
      <c r="J137" s="96"/>
      <c r="K137" s="452">
        <f>100-2*$G$37</f>
        <v>90</v>
      </c>
      <c r="L137" s="488">
        <v>0.1</v>
      </c>
      <c r="M137" s="478">
        <f>IF(ISBLANK(L137),"",-L137)</f>
        <v>-0.1</v>
      </c>
      <c r="N137" s="481">
        <f>FISHERINV(AE137+FISHER(AI137))-AI137</f>
        <v>0</v>
      </c>
      <c r="O137" s="481" t="e">
        <f>AH137+NORMSINV((100-K137)/200)*AG137</f>
        <v>#VALUE!</v>
      </c>
      <c r="P137" s="481" t="e">
        <f>AH137-NORMSINV((100-K137)/200)*AG137</f>
        <v>#VALUE!</v>
      </c>
      <c r="Q137" s="481" t="e">
        <f>IF(ISBLANK(AI137),"",(P137-O137)/2)</f>
        <v>#VALUE!</v>
      </c>
      <c r="R137" s="471" t="e">
        <f>IF(ISBLANK(AI137),"",IF(T137&lt;$I$37,IF(MAX(V137,X137)=V137,V138&amp;" trivial; don't use",X138&amp;" harmful; don't use"),IF(X137&lt;$E$37,T138&amp;" beneficial; consider using","unclear; don't use; get more data")))</f>
        <v>#VALUE!</v>
      </c>
      <c r="S137" s="471" t="e">
        <f>IF(ISBLANK(AI137),"",IF(MIN(T137,X137)&gt;$G$37,"unclear; get more data",IF(MAX(T137,V137,X137)=T137,T138&amp;" "&amp;L136,IF(MAX(T137,V137,X137)=V137,V138&amp;" trivial",X138&amp;" "&amp;M136))))</f>
        <v>#VALUE!</v>
      </c>
      <c r="T137" s="126" t="e">
        <f>IF(L137&gt;0,NORMSDIST((AH137-L137)/AG137),1-NORMSDIST((AH137-L137)/AG137))*100</f>
        <v>#VALUE!</v>
      </c>
      <c r="U137" s="127" t="s">
        <v>65</v>
      </c>
      <c r="V137" s="126" t="e">
        <f>IF(ISBLANK(AI137),"",100-T137-X137)</f>
        <v>#VALUE!</v>
      </c>
      <c r="W137" s="127" t="s">
        <v>65</v>
      </c>
      <c r="X137" s="126" t="e">
        <f>IF(M137&gt;0,NORMSDIST((AH137-M137)/AG137),1-NORMSDIST((AH137-M137)/AG137))*100</f>
        <v>#VALUE!</v>
      </c>
      <c r="Y137" s="127" t="s">
        <v>65</v>
      </c>
      <c r="Z137" s="185" t="e">
        <f>T137/(100-T137)/(X137/(100-X137))</f>
        <v>#VALUE!</v>
      </c>
      <c r="AB137" s="72">
        <f aca="true" t="shared" si="17" ref="AB137:AB142">IF(ISNUMBER(E137),IF(ISNUMBER(F137),1/SQRT(F137-3),IF(AND(ISNUMBER(I137),J137&gt;0),-(FISHER(E137+I137)-FISHER(E137-I137))/2/NORMSINV((100-J137)/200),IF(AND(ISNUMBER(H137),ISNUMBER(G137),J137&gt;0),-(FISHER(H137)-FISHER(G137))/2/NORMSINV((100-J137)/200),1/0))),"")</f>
      </c>
      <c r="AC137" s="72">
        <f aca="true" t="shared" si="18" ref="AC137:AC142">IF(ISBLANK(E137),"",FISHER(E137))</f>
      </c>
      <c r="AD137" s="474">
        <f>IF(SUM(AB137:AB142)&gt;0,SQRT(SUMPRODUCT(AB137:AB142,AB137:AB142,D137:D142,D137:D142)),"")</f>
      </c>
      <c r="AE137" s="474">
        <f>SUMPRODUCT(AC137:AC142,D137:D142)</f>
        <v>0</v>
      </c>
      <c r="AF137" s="193">
        <f aca="true" t="shared" si="19" ref="AF137:AF142">IF(D137&lt;0,D137,"")</f>
      </c>
      <c r="AG137" s="537" t="e">
        <f>N137/(AE137/AD137)</f>
        <v>#VALUE!</v>
      </c>
      <c r="AH137" s="538">
        <f>N137</f>
        <v>0</v>
      </c>
      <c r="AI137" s="196">
        <f>IF(SUM(AF137:AF142)=0,0,FISHERINV(-SUMPRODUCT(AF137:AF142,AC137:AC142)))</f>
        <v>0</v>
      </c>
    </row>
    <row r="138" spans="2:34" s="87" customFormat="1" ht="18" customHeight="1">
      <c r="B138" s="93"/>
      <c r="C138" s="94" t="s">
        <v>8</v>
      </c>
      <c r="D138" s="94"/>
      <c r="E138" s="98"/>
      <c r="F138" s="99"/>
      <c r="G138" s="98"/>
      <c r="H138" s="98"/>
      <c r="I138" s="75"/>
      <c r="J138" s="97">
        <f>J137</f>
        <v>0</v>
      </c>
      <c r="K138" s="453"/>
      <c r="L138" s="488"/>
      <c r="M138" s="479"/>
      <c r="N138" s="482"/>
      <c r="O138" s="482"/>
      <c r="P138" s="482"/>
      <c r="Q138" s="541"/>
      <c r="R138" s="472"/>
      <c r="S138" s="472"/>
      <c r="T138" s="499" t="e">
        <f>IF(T137&lt;$E$37,$D$37,IF(T137&lt;$G$37,$F$37,IF(T137&lt;$I$37,$H$37,IF(T137&lt;$K$37,$J$37,IF(T137&lt;$M$37,$L$37,IF(T137&lt;$O$37,$N$37,$P$37))))))</f>
        <v>#VALUE!</v>
      </c>
      <c r="U138" s="500"/>
      <c r="V138" s="499" t="e">
        <f>IF(V137&lt;$E$37,$D$37,IF(V137&lt;$G$37,$F$37,IF(V137&lt;$I$37,$H$37,IF(V137&lt;$K$37,$J$37,IF(V137&lt;$M$37,$L$37,IF(V137&lt;$O$37,$N$37,$P$37))))))</f>
        <v>#VALUE!</v>
      </c>
      <c r="W138" s="500"/>
      <c r="X138" s="499" t="e">
        <f>IF(X137&lt;$E$37,$D$37,IF(X137&lt;$G$37,$F$37,IF(X137&lt;$I$37,$H$37,IF(X137&lt;$K$37,$J$37,IF(X137&lt;$M$37,$L$37,IF(X137&lt;$O$37,$N$37,$P$37))))))</f>
        <v>#VALUE!</v>
      </c>
      <c r="Y138" s="500"/>
      <c r="Z138" s="85"/>
      <c r="AB138" s="72">
        <f t="shared" si="17"/>
      </c>
      <c r="AC138" s="72">
        <f t="shared" si="18"/>
      </c>
      <c r="AD138" s="474"/>
      <c r="AE138" s="474"/>
      <c r="AF138" s="193">
        <f t="shared" si="19"/>
      </c>
      <c r="AG138" s="537"/>
      <c r="AH138" s="538"/>
    </row>
    <row r="139" spans="2:35" s="87" customFormat="1" ht="18" customHeight="1">
      <c r="B139" s="93"/>
      <c r="C139" s="84" t="s">
        <v>34</v>
      </c>
      <c r="D139" s="94"/>
      <c r="E139" s="98"/>
      <c r="F139" s="99"/>
      <c r="G139" s="98"/>
      <c r="H139" s="98"/>
      <c r="I139" s="75"/>
      <c r="J139" s="97">
        <f>J138</f>
        <v>0</v>
      </c>
      <c r="K139" s="89"/>
      <c r="L139" s="89"/>
      <c r="M139" s="89"/>
      <c r="N139" s="114" t="s">
        <v>35</v>
      </c>
      <c r="O139" s="115"/>
      <c r="P139" s="116"/>
      <c r="Q139" s="116"/>
      <c r="R139" s="225" t="e">
        <f>IF(AND(X137&gt;$E$37,Z137&gt;$I$37/$K$37/($E$37/$O$37)),"Less conservative clinical: '"&amp;T138&amp;" beneficial, consider using' because odds ratio is &gt;"&amp;ROUND($I$37/$K$37/($E$37/$O$37),1)&amp;".","")</f>
        <v>#VALUE!</v>
      </c>
      <c r="S139" s="116"/>
      <c r="T139" s="116"/>
      <c r="U139" s="116"/>
      <c r="V139" s="116"/>
      <c r="W139" s="116"/>
      <c r="X139" s="116"/>
      <c r="Y139" s="117"/>
      <c r="Z139" s="85"/>
      <c r="AB139" s="72">
        <f t="shared" si="17"/>
      </c>
      <c r="AC139" s="72">
        <f t="shared" si="18"/>
      </c>
      <c r="AD139" s="4" t="s">
        <v>112</v>
      </c>
      <c r="AE139" s="5" t="s">
        <v>113</v>
      </c>
      <c r="AF139" s="193">
        <f t="shared" si="19"/>
      </c>
      <c r="AG139" s="194" t="s">
        <v>143</v>
      </c>
      <c r="AH139" s="194" t="s">
        <v>144</v>
      </c>
      <c r="AI139"/>
    </row>
    <row r="140" spans="2:35" s="87" customFormat="1" ht="18" customHeight="1">
      <c r="B140" s="93"/>
      <c r="C140" s="84" t="s">
        <v>37</v>
      </c>
      <c r="D140" s="94"/>
      <c r="E140" s="98"/>
      <c r="F140" s="99"/>
      <c r="G140" s="98"/>
      <c r="H140" s="98"/>
      <c r="I140" s="75"/>
      <c r="J140" s="97">
        <f>J139</f>
        <v>0</v>
      </c>
      <c r="K140" s="89"/>
      <c r="L140" s="89"/>
      <c r="M140" s="89"/>
      <c r="N140" s="485" t="e">
        <f>FISHERINV(AE140)</f>
        <v>#DIV/0!</v>
      </c>
      <c r="O140" s="485" t="e">
        <f>AH140+NORMSINV((100-K137)/200)*AG140</f>
        <v>#DIV/0!</v>
      </c>
      <c r="P140" s="485" t="e">
        <f>AH140-NORMSINV((100-K137)/200)*AG140</f>
        <v>#DIV/0!</v>
      </c>
      <c r="Q140" s="485" t="e">
        <f>(P140-O140)/2</f>
        <v>#DIV/0!</v>
      </c>
      <c r="R140" s="476" t="e">
        <f>IF(T140&lt;$I$37,IF(MAX(V140,X140)=V140,V141&amp;" trivial; don't use",X141&amp;" harmful; don't use"),IF(X140&lt;$E$37,T141&amp;" beneficial; consider using","unclear; don't use; get more data"))</f>
        <v>#DIV/0!</v>
      </c>
      <c r="S140" s="476" t="e">
        <f>IF(MIN(T140,X140)&gt;$G$37,"unclear; get more data",IF(MAX(T140,V140,X140)=T140,T141&amp;" "&amp;L136,IF(MAX(T140,V140,X140)=V140,V141&amp;" trivial",X141&amp;" "&amp;M136)))</f>
        <v>#DIV/0!</v>
      </c>
      <c r="T140" s="128" t="e">
        <f>IF(L137&gt;0,NORMSDIST((AH140-L137)/AG140),1-NORMSDIST((AH140-L137)/AG140))*100</f>
        <v>#DIV/0!</v>
      </c>
      <c r="U140" s="129" t="s">
        <v>65</v>
      </c>
      <c r="V140" s="128" t="e">
        <f>100-T140-X140</f>
        <v>#DIV/0!</v>
      </c>
      <c r="W140" s="129" t="s">
        <v>65</v>
      </c>
      <c r="X140" s="128" t="e">
        <f>IF(M137&gt;0,NORMSDIST((AH140-M137)/AG140),1-NORMSDIST((AH140-M137)/AG140))*100</f>
        <v>#DIV/0!</v>
      </c>
      <c r="Y140" s="129" t="s">
        <v>65</v>
      </c>
      <c r="Z140" s="186" t="e">
        <f>T140/(100-T140)/(X140/(100-X140))</f>
        <v>#DIV/0!</v>
      </c>
      <c r="AB140" s="72">
        <f t="shared" si="17"/>
      </c>
      <c r="AC140" s="72">
        <f t="shared" si="18"/>
      </c>
      <c r="AD140" s="474">
        <f>IF(SUM(AB137:AB142)&gt;0,SQRT(SUMPRODUCT(AB137:AB142,AB137:AB142))/COUNT(E137:E142),"")</f>
      </c>
      <c r="AE140" s="474" t="e">
        <f>AVERAGE(AC137:AC142)</f>
        <v>#DIV/0!</v>
      </c>
      <c r="AF140" s="193">
        <f t="shared" si="19"/>
      </c>
      <c r="AG140" s="537" t="e">
        <f>N140/(AE140/AD140)</f>
        <v>#DIV/0!</v>
      </c>
      <c r="AH140" s="538" t="e">
        <f>N140</f>
        <v>#DIV/0!</v>
      </c>
      <c r="AI140"/>
    </row>
    <row r="141" spans="2:35" s="87" customFormat="1" ht="18" customHeight="1">
      <c r="B141" s="93"/>
      <c r="C141" s="84" t="s">
        <v>38</v>
      </c>
      <c r="D141" s="94"/>
      <c r="E141" s="98"/>
      <c r="F141" s="99"/>
      <c r="G141" s="98"/>
      <c r="H141" s="98"/>
      <c r="I141" s="75"/>
      <c r="J141" s="97">
        <f>J140</f>
        <v>0</v>
      </c>
      <c r="K141" s="89"/>
      <c r="L141" s="89"/>
      <c r="M141" s="89"/>
      <c r="N141" s="486"/>
      <c r="O141" s="486"/>
      <c r="P141" s="486"/>
      <c r="Q141" s="486"/>
      <c r="R141" s="476"/>
      <c r="S141" s="476"/>
      <c r="T141" s="489" t="e">
        <f>IF(T140&lt;$E$37,$D$37,IF(T140&lt;$G$37,$F$37,IF(T140&lt;$I$37,$H$37,IF(T140&lt;$K$37,$J$37,IF(T140&lt;$M$37,$L$37,IF(T140&lt;$O$37,$N$37,$P$37))))))</f>
        <v>#DIV/0!</v>
      </c>
      <c r="U141" s="490"/>
      <c r="V141" s="489" t="e">
        <f>IF(V140&lt;$E$37,$D$37,IF(V140&lt;$G$37,$F$37,IF(V140&lt;$I$37,$H$37,IF(V140&lt;$K$37,$J$37,IF(V140&lt;$M$37,$L$37,IF(V140&lt;$O$37,$N$37,$P$37))))))</f>
        <v>#DIV/0!</v>
      </c>
      <c r="W141" s="490"/>
      <c r="X141" s="489" t="e">
        <f>IF(X140&lt;$E$37,$D$37,IF(X140&lt;$G$37,$F$37,IF(X140&lt;$I$37,$H$37,IF(X140&lt;$K$37,$J$37,IF(X140&lt;$M$37,$L$37,IF(X140&lt;$O$37,$N$37,$P$37))))))</f>
        <v>#DIV/0!</v>
      </c>
      <c r="Y141" s="490"/>
      <c r="Z141" s="85"/>
      <c r="AB141" s="72">
        <f t="shared" si="17"/>
      </c>
      <c r="AC141" s="72">
        <f t="shared" si="18"/>
      </c>
      <c r="AD141" s="474"/>
      <c r="AE141" s="474"/>
      <c r="AF141" s="193">
        <f t="shared" si="19"/>
      </c>
      <c r="AG141" s="537"/>
      <c r="AH141" s="538"/>
      <c r="AI141"/>
    </row>
    <row r="142" spans="2:32" s="87" customFormat="1" ht="18" customHeight="1">
      <c r="B142" s="83"/>
      <c r="C142" s="84" t="s">
        <v>39</v>
      </c>
      <c r="D142" s="94"/>
      <c r="E142" s="98"/>
      <c r="F142" s="99"/>
      <c r="G142" s="98"/>
      <c r="H142" s="98"/>
      <c r="I142" s="75"/>
      <c r="J142" s="97">
        <f>J141</f>
        <v>0</v>
      </c>
      <c r="K142" s="120"/>
      <c r="L142" s="120"/>
      <c r="M142" s="120"/>
      <c r="N142" s="120"/>
      <c r="O142" s="120"/>
      <c r="P142" s="120"/>
      <c r="Q142" s="120"/>
      <c r="R142" s="225" t="e">
        <f>IF(AND(X140&gt;$E$37,Z140&gt;$I$37/$K$37/($E$37/$O$37)),"Less conservative clinical: '"&amp;T141&amp;" beneficial, consider using' because odds ratio is &gt;"&amp;ROUND($I$37/$K$37/($E$37/$O$37),1)&amp;".","")</f>
        <v>#DIV/0!</v>
      </c>
      <c r="S142" s="202"/>
      <c r="T142" s="202"/>
      <c r="U142" s="202"/>
      <c r="V142" s="202"/>
      <c r="W142" s="202"/>
      <c r="X142" s="202"/>
      <c r="Y142" s="202"/>
      <c r="Z142" s="122"/>
      <c r="AB142" s="72">
        <f t="shared" si="17"/>
      </c>
      <c r="AC142" s="72">
        <f t="shared" si="18"/>
      </c>
      <c r="AF142" s="193">
        <f t="shared" si="19"/>
      </c>
    </row>
    <row r="143" spans="2:26" ht="12" customHeight="1" thickBot="1">
      <c r="B143" s="63"/>
      <c r="C143" s="64"/>
      <c r="D143" s="70" t="str">
        <f>(IF(SUMPRODUCT(D137:D142,D137:D142)&gt;2,"ERROR: bad weights.  ",IF(OR(AND(SUM(D137:D142)=1,SUM(AF137:AF142)=0),SUM(D137:D142)=0),"Good weights","ERROR: weights do not add to 1 or 0.  "))&amp;(IF(AND(MIN(F137:F142)&lt;4,COUNT(F137:F142)&gt;0),"    ERROR: sample size must be at least 4","")))</f>
        <v>Good weights</v>
      </c>
      <c r="E143" s="70"/>
      <c r="F143" s="70"/>
      <c r="G143" s="70"/>
      <c r="H143" s="64"/>
      <c r="I143" s="64"/>
      <c r="J143" s="64"/>
      <c r="K143" s="64"/>
      <c r="L143" s="64"/>
      <c r="M143" s="64"/>
      <c r="N143" s="552" t="e">
        <f>IF(OR(N137=0,N140=0),"If custom or mean effect=0, spreadsheet does not work. Change one correlation by 0.001.","")</f>
        <v>#DIV/0!</v>
      </c>
      <c r="O143" s="553"/>
      <c r="P143" s="553"/>
      <c r="Q143" s="553"/>
      <c r="R143" s="553"/>
      <c r="S143" s="553"/>
      <c r="T143" s="553"/>
      <c r="U143" s="553"/>
      <c r="V143" s="553"/>
      <c r="W143" s="553"/>
      <c r="X143" s="554"/>
      <c r="Y143" s="64"/>
      <c r="Z143" s="65"/>
    </row>
    <row r="144" ht="12.75"/>
    <row r="145" ht="12.75"/>
    <row r="146" ht="12.75"/>
    <row r="148" ht="12.75"/>
    <row r="149" ht="12.75"/>
    <row r="150" ht="12.75"/>
  </sheetData>
  <sheetProtection/>
  <mergeCells count="342">
    <mergeCell ref="B16:K16"/>
    <mergeCell ref="B15:N15"/>
    <mergeCell ref="B17:N17"/>
    <mergeCell ref="N143:X143"/>
    <mergeCell ref="AG140:AG141"/>
    <mergeCell ref="AH140:AH141"/>
    <mergeCell ref="AG125:AG126"/>
    <mergeCell ref="AH125:AH126"/>
    <mergeCell ref="N131:X131"/>
    <mergeCell ref="AG128:AG129"/>
    <mergeCell ref="AH128:AH129"/>
    <mergeCell ref="AG137:AG138"/>
    <mergeCell ref="AH137:AH138"/>
    <mergeCell ref="G98:I98"/>
    <mergeCell ref="J98:K98"/>
    <mergeCell ref="D57:D58"/>
    <mergeCell ref="D109:D110"/>
    <mergeCell ref="E135:E136"/>
    <mergeCell ref="N137:N138"/>
    <mergeCell ref="K125:K126"/>
    <mergeCell ref="C56:J56"/>
    <mergeCell ref="D108:K108"/>
    <mergeCell ref="J84:K84"/>
    <mergeCell ref="K86:K87"/>
    <mergeCell ref="C83:J83"/>
    <mergeCell ref="E98:E99"/>
    <mergeCell ref="F98:F99"/>
    <mergeCell ref="K59:K60"/>
    <mergeCell ref="C57:C58"/>
    <mergeCell ref="C73:C74"/>
    <mergeCell ref="C135:C136"/>
    <mergeCell ref="D135:D136"/>
    <mergeCell ref="C72:J72"/>
    <mergeCell ref="J57:K57"/>
    <mergeCell ref="K111:K112"/>
    <mergeCell ref="E84:E85"/>
    <mergeCell ref="F84:F85"/>
    <mergeCell ref="G84:I84"/>
    <mergeCell ref="D97:K97"/>
    <mergeCell ref="D98:D99"/>
    <mergeCell ref="Q140:Q141"/>
    <mergeCell ref="R140:R141"/>
    <mergeCell ref="C122:K122"/>
    <mergeCell ref="J123:K123"/>
    <mergeCell ref="N140:N141"/>
    <mergeCell ref="O140:O141"/>
    <mergeCell ref="P140:P141"/>
    <mergeCell ref="J135:K135"/>
    <mergeCell ref="G135:I135"/>
    <mergeCell ref="C134:K134"/>
    <mergeCell ref="AE140:AE141"/>
    <mergeCell ref="T141:U141"/>
    <mergeCell ref="V141:W141"/>
    <mergeCell ref="X141:Y141"/>
    <mergeCell ref="AD140:AD141"/>
    <mergeCell ref="B18:E18"/>
    <mergeCell ref="G123:I123"/>
    <mergeCell ref="E123:E124"/>
    <mergeCell ref="D123:D124"/>
    <mergeCell ref="C123:C124"/>
    <mergeCell ref="D73:D74"/>
    <mergeCell ref="E73:E74"/>
    <mergeCell ref="F73:F74"/>
    <mergeCell ref="S140:S141"/>
    <mergeCell ref="AF62:AF63"/>
    <mergeCell ref="O137:O138"/>
    <mergeCell ref="P137:P138"/>
    <mergeCell ref="Q137:Q138"/>
    <mergeCell ref="R137:R138"/>
    <mergeCell ref="AE137:AE138"/>
    <mergeCell ref="T138:U138"/>
    <mergeCell ref="V138:W138"/>
    <mergeCell ref="X138:Y138"/>
    <mergeCell ref="AD137:AD138"/>
    <mergeCell ref="O62:O63"/>
    <mergeCell ref="P62:P63"/>
    <mergeCell ref="Q62:Q63"/>
    <mergeCell ref="S62:S63"/>
    <mergeCell ref="AD62:AD63"/>
    <mergeCell ref="S114:S115"/>
    <mergeCell ref="AE62:AE63"/>
    <mergeCell ref="AD59:AD60"/>
    <mergeCell ref="T60:U60"/>
    <mergeCell ref="V60:W60"/>
    <mergeCell ref="X60:Y60"/>
    <mergeCell ref="AE59:AE60"/>
    <mergeCell ref="T63:U63"/>
    <mergeCell ref="V63:W63"/>
    <mergeCell ref="X63:Y63"/>
    <mergeCell ref="AF59:AF60"/>
    <mergeCell ref="L59:L60"/>
    <mergeCell ref="M59:M60"/>
    <mergeCell ref="N59:N60"/>
    <mergeCell ref="O59:O60"/>
    <mergeCell ref="P59:P60"/>
    <mergeCell ref="S59:S60"/>
    <mergeCell ref="R59:R60"/>
    <mergeCell ref="AE114:AE115"/>
    <mergeCell ref="AD111:AD112"/>
    <mergeCell ref="AE111:AE112"/>
    <mergeCell ref="T112:U112"/>
    <mergeCell ref="V112:W112"/>
    <mergeCell ref="X112:Y112"/>
    <mergeCell ref="T115:U115"/>
    <mergeCell ref="V115:W115"/>
    <mergeCell ref="X115:Y115"/>
    <mergeCell ref="AD114:AD115"/>
    <mergeCell ref="X101:Y101"/>
    <mergeCell ref="V101:W101"/>
    <mergeCell ref="N114:N115"/>
    <mergeCell ref="O114:O115"/>
    <mergeCell ref="P114:P115"/>
    <mergeCell ref="Q114:Q115"/>
    <mergeCell ref="O111:O112"/>
    <mergeCell ref="R114:R115"/>
    <mergeCell ref="Q111:Q112"/>
    <mergeCell ref="R111:R112"/>
    <mergeCell ref="E109:E110"/>
    <mergeCell ref="F109:F110"/>
    <mergeCell ref="G109:I109"/>
    <mergeCell ref="J109:K109"/>
    <mergeCell ref="AE103:AE104"/>
    <mergeCell ref="T108:Y108"/>
    <mergeCell ref="O109:Q109"/>
    <mergeCell ref="R109:S109"/>
    <mergeCell ref="T109:U110"/>
    <mergeCell ref="X104:Y104"/>
    <mergeCell ref="L111:L112"/>
    <mergeCell ref="M111:M112"/>
    <mergeCell ref="N111:N112"/>
    <mergeCell ref="O98:Q98"/>
    <mergeCell ref="L108:M108"/>
    <mergeCell ref="S103:S104"/>
    <mergeCell ref="R103:R104"/>
    <mergeCell ref="S111:S112"/>
    <mergeCell ref="P111:P112"/>
    <mergeCell ref="N89:N90"/>
    <mergeCell ref="O89:O90"/>
    <mergeCell ref="P89:P90"/>
    <mergeCell ref="Q89:Q90"/>
    <mergeCell ref="T104:U104"/>
    <mergeCell ref="V104:W104"/>
    <mergeCell ref="T101:U101"/>
    <mergeCell ref="AE86:AE87"/>
    <mergeCell ref="T87:U87"/>
    <mergeCell ref="V87:W87"/>
    <mergeCell ref="Z98:Z99"/>
    <mergeCell ref="T98:U99"/>
    <mergeCell ref="AG89:AG90"/>
    <mergeCell ref="AF89:AF90"/>
    <mergeCell ref="AG78:AG79"/>
    <mergeCell ref="AF86:AF87"/>
    <mergeCell ref="R78:R79"/>
    <mergeCell ref="AG86:AG87"/>
    <mergeCell ref="V79:W79"/>
    <mergeCell ref="N108:S108"/>
    <mergeCell ref="V98:W99"/>
    <mergeCell ref="X98:Y99"/>
    <mergeCell ref="AE89:AE90"/>
    <mergeCell ref="AD103:AD104"/>
    <mergeCell ref="R84:S84"/>
    <mergeCell ref="N78:N79"/>
    <mergeCell ref="O75:O76"/>
    <mergeCell ref="S75:S76"/>
    <mergeCell ref="O86:O87"/>
    <mergeCell ref="P86:P87"/>
    <mergeCell ref="Q86:Q87"/>
    <mergeCell ref="S86:S87"/>
    <mergeCell ref="T79:U79"/>
    <mergeCell ref="N72:S72"/>
    <mergeCell ref="S78:S79"/>
    <mergeCell ref="P75:P76"/>
    <mergeCell ref="Q75:Q76"/>
    <mergeCell ref="R75:R76"/>
    <mergeCell ref="T84:U85"/>
    <mergeCell ref="V84:W85"/>
    <mergeCell ref="X84:Y85"/>
    <mergeCell ref="T83:Y83"/>
    <mergeCell ref="T90:U90"/>
    <mergeCell ref="V90:W90"/>
    <mergeCell ref="X90:Y90"/>
    <mergeCell ref="X87:Y87"/>
    <mergeCell ref="L97:M97"/>
    <mergeCell ref="L83:M83"/>
    <mergeCell ref="L86:L87"/>
    <mergeCell ref="M86:M87"/>
    <mergeCell ref="N86:N87"/>
    <mergeCell ref="V57:W58"/>
    <mergeCell ref="N62:N63"/>
    <mergeCell ref="O78:O79"/>
    <mergeCell ref="P78:P79"/>
    <mergeCell ref="Q78:Q79"/>
    <mergeCell ref="V109:W110"/>
    <mergeCell ref="X109:Y110"/>
    <mergeCell ref="R86:R87"/>
    <mergeCell ref="R57:S57"/>
    <mergeCell ref="R62:R63"/>
    <mergeCell ref="L56:M56"/>
    <mergeCell ref="X79:Y79"/>
    <mergeCell ref="R73:S73"/>
    <mergeCell ref="V73:W74"/>
    <mergeCell ref="X73:Y74"/>
    <mergeCell ref="C84:C85"/>
    <mergeCell ref="D84:D85"/>
    <mergeCell ref="N83:S83"/>
    <mergeCell ref="N103:N104"/>
    <mergeCell ref="O103:O104"/>
    <mergeCell ref="P103:P104"/>
    <mergeCell ref="Q103:Q104"/>
    <mergeCell ref="N97:S97"/>
    <mergeCell ref="R98:S98"/>
    <mergeCell ref="O100:O101"/>
    <mergeCell ref="K100:K101"/>
    <mergeCell ref="L100:L101"/>
    <mergeCell ref="M100:M101"/>
    <mergeCell ref="N100:N101"/>
    <mergeCell ref="P100:P101"/>
    <mergeCell ref="S100:S101"/>
    <mergeCell ref="AG75:AG76"/>
    <mergeCell ref="T76:U76"/>
    <mergeCell ref="V76:W76"/>
    <mergeCell ref="X76:Y76"/>
    <mergeCell ref="Q100:Q101"/>
    <mergeCell ref="R100:R101"/>
    <mergeCell ref="S89:S90"/>
    <mergeCell ref="R89:R90"/>
    <mergeCell ref="AE78:AE79"/>
    <mergeCell ref="AF78:AF79"/>
    <mergeCell ref="G73:I73"/>
    <mergeCell ref="J73:K73"/>
    <mergeCell ref="C45:J45"/>
    <mergeCell ref="L45:M45"/>
    <mergeCell ref="L72:M72"/>
    <mergeCell ref="L48:L49"/>
    <mergeCell ref="M48:M49"/>
    <mergeCell ref="E57:E58"/>
    <mergeCell ref="F57:F58"/>
    <mergeCell ref="G57:I57"/>
    <mergeCell ref="T73:U74"/>
    <mergeCell ref="K75:K76"/>
    <mergeCell ref="L75:L76"/>
    <mergeCell ref="M75:M76"/>
    <mergeCell ref="N75:N76"/>
    <mergeCell ref="N45:S45"/>
    <mergeCell ref="T45:Y45"/>
    <mergeCell ref="R46:S46"/>
    <mergeCell ref="T46:U47"/>
    <mergeCell ref="N56:S56"/>
    <mergeCell ref="Q59:Q60"/>
    <mergeCell ref="V46:W47"/>
    <mergeCell ref="X46:Y47"/>
    <mergeCell ref="O48:O49"/>
    <mergeCell ref="P48:P49"/>
    <mergeCell ref="C46:C47"/>
    <mergeCell ref="D46:D47"/>
    <mergeCell ref="E46:E47"/>
    <mergeCell ref="F46:F47"/>
    <mergeCell ref="K48:K49"/>
    <mergeCell ref="N48:N49"/>
    <mergeCell ref="G46:I46"/>
    <mergeCell ref="J46:K46"/>
    <mergeCell ref="AF48:AF49"/>
    <mergeCell ref="T49:U49"/>
    <mergeCell ref="V49:W49"/>
    <mergeCell ref="X49:Y49"/>
    <mergeCell ref="Q48:Q49"/>
    <mergeCell ref="R48:R49"/>
    <mergeCell ref="S48:S49"/>
    <mergeCell ref="AD48:AD49"/>
    <mergeCell ref="AE48:AE49"/>
    <mergeCell ref="AD100:AD101"/>
    <mergeCell ref="AE100:AE101"/>
    <mergeCell ref="N51:N52"/>
    <mergeCell ref="O51:O52"/>
    <mergeCell ref="P51:P52"/>
    <mergeCell ref="Q51:Q52"/>
    <mergeCell ref="AD51:AD52"/>
    <mergeCell ref="AE51:AE52"/>
    <mergeCell ref="R51:R52"/>
    <mergeCell ref="S51:S52"/>
    <mergeCell ref="AF51:AF52"/>
    <mergeCell ref="T52:U52"/>
    <mergeCell ref="V52:W52"/>
    <mergeCell ref="X52:Y52"/>
    <mergeCell ref="AE75:AE76"/>
    <mergeCell ref="AF75:AF76"/>
    <mergeCell ref="T72:Y72"/>
    <mergeCell ref="T56:Y56"/>
    <mergeCell ref="T57:U58"/>
    <mergeCell ref="R125:R126"/>
    <mergeCell ref="S125:S126"/>
    <mergeCell ref="T122:Y122"/>
    <mergeCell ref="T123:U124"/>
    <mergeCell ref="V123:W124"/>
    <mergeCell ref="L122:M122"/>
    <mergeCell ref="N122:S122"/>
    <mergeCell ref="L125:L126"/>
    <mergeCell ref="M125:M126"/>
    <mergeCell ref="N125:N126"/>
    <mergeCell ref="O125:O126"/>
    <mergeCell ref="P125:P126"/>
    <mergeCell ref="Q125:Q126"/>
    <mergeCell ref="O123:Q123"/>
    <mergeCell ref="R123:S123"/>
    <mergeCell ref="AD128:AD129"/>
    <mergeCell ref="AE128:AE129"/>
    <mergeCell ref="T129:U129"/>
    <mergeCell ref="V129:W129"/>
    <mergeCell ref="X129:Y129"/>
    <mergeCell ref="AD125:AD126"/>
    <mergeCell ref="AE125:AE126"/>
    <mergeCell ref="T126:U126"/>
    <mergeCell ref="V126:W126"/>
    <mergeCell ref="X126:Y126"/>
    <mergeCell ref="S137:S138"/>
    <mergeCell ref="L134:M134"/>
    <mergeCell ref="K137:K138"/>
    <mergeCell ref="L137:L138"/>
    <mergeCell ref="M137:M138"/>
    <mergeCell ref="N134:S134"/>
    <mergeCell ref="O135:Q135"/>
    <mergeCell ref="R135:S135"/>
    <mergeCell ref="T135:U136"/>
    <mergeCell ref="N128:N129"/>
    <mergeCell ref="O128:O129"/>
    <mergeCell ref="P128:P129"/>
    <mergeCell ref="Q128:Q129"/>
    <mergeCell ref="R128:R129"/>
    <mergeCell ref="S128:S129"/>
    <mergeCell ref="T134:Y134"/>
    <mergeCell ref="V135:W136"/>
    <mergeCell ref="X135:Y136"/>
    <mergeCell ref="X123:Y124"/>
    <mergeCell ref="Z123:Z124"/>
    <mergeCell ref="Z135:Z136"/>
    <mergeCell ref="Z46:Z47"/>
    <mergeCell ref="Z57:Z58"/>
    <mergeCell ref="Z73:Z74"/>
    <mergeCell ref="Z84:Z85"/>
    <mergeCell ref="Z109:Z110"/>
    <mergeCell ref="X57:Y58"/>
    <mergeCell ref="T97:Y97"/>
  </mergeCells>
  <hyperlinks>
    <hyperlink ref="B15" location="'2 groups'!A44" display="1.  Combining Means and Other t-Distributed or Normally Distributed Statistics"/>
    <hyperlink ref="B16" r:id="rId1" display="2.  Combining Percent and Factor Outcomes"/>
    <hyperlink ref="B15:I15" location="_1x" display="1.  Combining Means and Other t-Distributed or Normally Distributed Statistics"/>
    <hyperlink ref="B17" r:id="rId2" display="3.  Combining Relative Rates and Other Log-Normally Distributed Statistics"/>
    <hyperlink ref="B16:G16" location="_2x" display="2.  Combining Percent and Factor Outcomes"/>
    <hyperlink ref="B17:J17" location="_3x" display="3.  Combining Rate Ratios and Other Log-Normally Distributed Statistics"/>
    <hyperlink ref="B18:E18" location="_4x" display="4.  Combining Correlations"/>
  </hyperlinks>
  <printOptions/>
  <pageMargins left="0.75" right="0.75" top="1" bottom="1" header="0.5" footer="0.5"/>
  <pageSetup horizontalDpi="1200" verticalDpi="1200" orientation="portrait" paperSize="9" r:id="rId5"/>
  <legacyDrawing r:id="rId4"/>
</worksheet>
</file>

<file path=xl/worksheets/sheet3.xml><?xml version="1.0" encoding="utf-8"?>
<worksheet xmlns="http://schemas.openxmlformats.org/spreadsheetml/2006/main" xmlns:r="http://schemas.openxmlformats.org/officeDocument/2006/relationships">
  <dimension ref="A1:AF146"/>
  <sheetViews>
    <sheetView zoomScale="115" zoomScaleNormal="115" zoomScalePageLayoutView="0" workbookViewId="0" topLeftCell="A1">
      <selection activeCell="A1" sqref="A1"/>
    </sheetView>
  </sheetViews>
  <sheetFormatPr defaultColWidth="9.140625" defaultRowHeight="12.75"/>
  <cols>
    <col min="1" max="1" width="2.140625" style="254" customWidth="1"/>
    <col min="2" max="2" width="1.7109375" style="254" customWidth="1"/>
    <col min="3" max="3" width="8.140625" style="228" customWidth="1"/>
    <col min="4" max="4" width="7.8515625" style="228" customWidth="1"/>
    <col min="5" max="5" width="8.421875" style="228" customWidth="1"/>
    <col min="6" max="6" width="8.28125" style="228" customWidth="1"/>
    <col min="7" max="7" width="7.28125" style="228" customWidth="1"/>
    <col min="8" max="8" width="7.00390625" style="228" customWidth="1"/>
    <col min="9" max="10" width="8.8515625" style="228" customWidth="1"/>
    <col min="11" max="11" width="8.7109375" style="228" customWidth="1"/>
    <col min="12" max="13" width="9.57421875" style="228" customWidth="1"/>
    <col min="14" max="14" width="9.28125" style="228" customWidth="1"/>
    <col min="15" max="15" width="8.7109375" style="228" customWidth="1"/>
    <col min="16" max="16" width="6.7109375" style="228" customWidth="1"/>
    <col min="17" max="17" width="12.00390625" style="229" customWidth="1"/>
    <col min="18" max="19" width="10.7109375" style="229" customWidth="1"/>
    <col min="20" max="20" width="7.7109375" style="229" customWidth="1"/>
    <col min="21" max="22" width="8.140625" style="228" customWidth="1"/>
    <col min="23" max="24" width="7.7109375" style="228" customWidth="1"/>
    <col min="25" max="25" width="11.28125" style="228" customWidth="1"/>
    <col min="26" max="16384" width="9.140625" style="254" customWidth="1"/>
  </cols>
  <sheetData>
    <row r="1" spans="17:18" s="228" customFormat="1" ht="9.75" customHeight="1" thickBot="1">
      <c r="Q1" s="229"/>
      <c r="R1" s="229"/>
    </row>
    <row r="2" spans="2:23" s="230" customFormat="1" ht="15.75" customHeight="1" thickBot="1">
      <c r="B2" s="231" t="s">
        <v>273</v>
      </c>
      <c r="C2" s="232"/>
      <c r="D2" s="232"/>
      <c r="E2" s="233"/>
      <c r="F2" s="233"/>
      <c r="G2" s="233"/>
      <c r="H2" s="233"/>
      <c r="I2" s="233"/>
      <c r="J2" s="233"/>
      <c r="K2" s="232"/>
      <c r="L2" s="232"/>
      <c r="M2" s="232"/>
      <c r="N2" s="232"/>
      <c r="O2" s="232"/>
      <c r="P2" s="232"/>
      <c r="Q2" s="232"/>
      <c r="R2" s="232"/>
      <c r="S2" s="232"/>
      <c r="T2" s="232"/>
      <c r="U2" s="232"/>
      <c r="V2" s="232"/>
      <c r="W2" s="234"/>
    </row>
    <row r="3" spans="2:23" s="235" customFormat="1" ht="5.25" customHeight="1">
      <c r="B3" s="236"/>
      <c r="E3" s="237"/>
      <c r="F3" s="237"/>
      <c r="G3" s="237"/>
      <c r="H3" s="237"/>
      <c r="I3" s="237"/>
      <c r="J3" s="237"/>
      <c r="W3" s="238"/>
    </row>
    <row r="4" spans="2:23" s="235" customFormat="1" ht="12" customHeight="1">
      <c r="B4" s="558" t="s">
        <v>23</v>
      </c>
      <c r="C4" s="559"/>
      <c r="D4" s="559"/>
      <c r="E4" s="559"/>
      <c r="F4" s="240"/>
      <c r="G4" s="241" t="s">
        <v>216</v>
      </c>
      <c r="H4" s="242">
        <v>2022</v>
      </c>
      <c r="I4" s="243">
        <v>2021</v>
      </c>
      <c r="J4" s="240"/>
      <c r="W4" s="238"/>
    </row>
    <row r="5" spans="2:23" s="235" customFormat="1" ht="12" customHeight="1">
      <c r="B5" s="244" t="s">
        <v>221</v>
      </c>
      <c r="C5" s="239"/>
      <c r="D5" s="239"/>
      <c r="E5" s="239"/>
      <c r="F5" s="240"/>
      <c r="G5" s="241"/>
      <c r="H5" s="242"/>
      <c r="I5" s="243"/>
      <c r="J5" s="240"/>
      <c r="W5" s="238"/>
    </row>
    <row r="6" spans="2:23" s="235" customFormat="1" ht="9" customHeight="1" thickBot="1">
      <c r="B6" s="245"/>
      <c r="C6" s="246"/>
      <c r="D6" s="246"/>
      <c r="E6" s="247"/>
      <c r="F6" s="247"/>
      <c r="G6" s="247"/>
      <c r="H6" s="247"/>
      <c r="I6" s="247"/>
      <c r="J6" s="247"/>
      <c r="K6" s="246"/>
      <c r="L6" s="246"/>
      <c r="M6" s="246"/>
      <c r="N6" s="246"/>
      <c r="O6" s="246"/>
      <c r="P6" s="246"/>
      <c r="Q6" s="246"/>
      <c r="R6" s="246"/>
      <c r="S6" s="246"/>
      <c r="T6" s="246"/>
      <c r="U6" s="246"/>
      <c r="V6" s="246"/>
      <c r="W6" s="248"/>
    </row>
    <row r="7" spans="1:23" s="228" customFormat="1" ht="12.75" customHeight="1">
      <c r="A7" s="229"/>
      <c r="B7" s="249" t="s">
        <v>79</v>
      </c>
      <c r="C7" s="250"/>
      <c r="D7" s="250"/>
      <c r="E7" s="250"/>
      <c r="F7" s="250"/>
      <c r="G7" s="250"/>
      <c r="H7" s="250"/>
      <c r="I7" s="250"/>
      <c r="J7" s="250"/>
      <c r="K7" s="250"/>
      <c r="L7" s="250"/>
      <c r="M7" s="250"/>
      <c r="N7" s="250"/>
      <c r="O7" s="250"/>
      <c r="P7" s="250"/>
      <c r="Q7" s="250"/>
      <c r="R7" s="250"/>
      <c r="S7" s="250"/>
      <c r="T7" s="250"/>
      <c r="U7" s="250"/>
      <c r="V7" s="250"/>
      <c r="W7" s="251"/>
    </row>
    <row r="8" spans="2:32" s="228" customFormat="1" ht="12" customHeight="1">
      <c r="B8" s="252" t="s">
        <v>252</v>
      </c>
      <c r="C8" s="229"/>
      <c r="D8" s="229"/>
      <c r="E8" s="229"/>
      <c r="F8" s="229"/>
      <c r="G8" s="229"/>
      <c r="H8" s="229"/>
      <c r="I8" s="229"/>
      <c r="J8" s="229"/>
      <c r="K8" s="229"/>
      <c r="L8" s="229"/>
      <c r="M8" s="229"/>
      <c r="N8" s="229"/>
      <c r="O8" s="229"/>
      <c r="P8" s="229"/>
      <c r="Q8" s="229"/>
      <c r="R8" s="229"/>
      <c r="S8" s="229"/>
      <c r="T8" s="229"/>
      <c r="U8" s="229"/>
      <c r="V8" s="229"/>
      <c r="W8" s="253"/>
      <c r="AB8" s="254"/>
      <c r="AC8" s="254"/>
      <c r="AD8" s="254"/>
      <c r="AE8" s="254"/>
      <c r="AF8" s="254"/>
    </row>
    <row r="9" spans="2:32" s="228" customFormat="1" ht="12" customHeight="1">
      <c r="B9" s="252" t="s">
        <v>276</v>
      </c>
      <c r="C9" s="229"/>
      <c r="D9" s="255"/>
      <c r="E9" s="229"/>
      <c r="F9" s="229"/>
      <c r="G9" s="229"/>
      <c r="H9" s="229"/>
      <c r="I9" s="229"/>
      <c r="J9" s="229"/>
      <c r="K9" s="229"/>
      <c r="L9" s="229"/>
      <c r="M9" s="229"/>
      <c r="N9" s="229"/>
      <c r="O9" s="229"/>
      <c r="P9" s="229"/>
      <c r="Q9" s="229"/>
      <c r="R9" s="229"/>
      <c r="S9" s="229"/>
      <c r="T9" s="229"/>
      <c r="U9" s="229"/>
      <c r="V9" s="229"/>
      <c r="W9" s="253"/>
      <c r="AB9" s="254"/>
      <c r="AC9" s="254"/>
      <c r="AD9" s="254"/>
      <c r="AE9" s="254"/>
      <c r="AF9" s="254"/>
    </row>
    <row r="10" spans="1:27" ht="12.75" customHeight="1">
      <c r="A10" s="256"/>
      <c r="B10" s="442" t="s">
        <v>148</v>
      </c>
      <c r="C10" s="443"/>
      <c r="D10" s="443"/>
      <c r="E10" s="443"/>
      <c r="F10" s="443"/>
      <c r="G10" s="443"/>
      <c r="H10" s="443"/>
      <c r="I10" s="443"/>
      <c r="J10" s="443"/>
      <c r="K10" s="443"/>
      <c r="L10" s="229"/>
      <c r="M10" s="229"/>
      <c r="N10" s="229"/>
      <c r="O10" s="229"/>
      <c r="P10" s="229"/>
      <c r="U10" s="229"/>
      <c r="V10" s="229"/>
      <c r="W10" s="253"/>
      <c r="AA10" s="257"/>
    </row>
    <row r="11" spans="1:27" ht="12.75" customHeight="1">
      <c r="A11" s="256"/>
      <c r="B11" s="442" t="s">
        <v>149</v>
      </c>
      <c r="C11" s="443"/>
      <c r="D11" s="443"/>
      <c r="E11" s="443"/>
      <c r="F11" s="443"/>
      <c r="G11" s="443"/>
      <c r="H11" s="443"/>
      <c r="I11" s="443"/>
      <c r="J11" s="443"/>
      <c r="K11" s="443"/>
      <c r="L11" s="229"/>
      <c r="M11" s="229"/>
      <c r="N11" s="229"/>
      <c r="O11" s="229"/>
      <c r="P11" s="229"/>
      <c r="U11" s="229"/>
      <c r="V11" s="229"/>
      <c r="W11" s="253"/>
      <c r="AA11" s="257"/>
    </row>
    <row r="12" spans="1:27" ht="12.75" customHeight="1">
      <c r="A12" s="256"/>
      <c r="B12" s="442" t="s">
        <v>150</v>
      </c>
      <c r="C12" s="443"/>
      <c r="D12" s="443"/>
      <c r="E12" s="443"/>
      <c r="F12" s="443"/>
      <c r="G12" s="443"/>
      <c r="H12" s="443"/>
      <c r="I12" s="443"/>
      <c r="J12" s="443"/>
      <c r="K12" s="443"/>
      <c r="L12" s="229"/>
      <c r="M12" s="229"/>
      <c r="N12" s="229"/>
      <c r="O12" s="229"/>
      <c r="P12" s="229"/>
      <c r="U12" s="229"/>
      <c r="V12" s="229"/>
      <c r="W12" s="253"/>
      <c r="AA12" s="257"/>
    </row>
    <row r="13" spans="1:27" ht="12.75" customHeight="1">
      <c r="A13" s="256"/>
      <c r="B13" s="442" t="s">
        <v>151</v>
      </c>
      <c r="C13" s="443"/>
      <c r="D13" s="443"/>
      <c r="E13" s="443"/>
      <c r="F13" s="443"/>
      <c r="G13" s="229"/>
      <c r="H13" s="229"/>
      <c r="I13" s="229"/>
      <c r="J13" s="229"/>
      <c r="K13" s="229"/>
      <c r="L13" s="229"/>
      <c r="M13" s="229"/>
      <c r="N13" s="229"/>
      <c r="O13" s="229"/>
      <c r="P13" s="229"/>
      <c r="U13" s="229"/>
      <c r="V13" s="229"/>
      <c r="W13" s="253"/>
      <c r="AA13" s="257"/>
    </row>
    <row r="14" spans="2:32" s="228" customFormat="1" ht="12" customHeight="1">
      <c r="B14" s="252" t="s">
        <v>222</v>
      </c>
      <c r="C14" s="229"/>
      <c r="D14" s="229"/>
      <c r="E14" s="229"/>
      <c r="F14" s="229"/>
      <c r="G14" s="229"/>
      <c r="H14" s="229"/>
      <c r="I14" s="229"/>
      <c r="J14" s="229"/>
      <c r="K14" s="229"/>
      <c r="L14" s="229"/>
      <c r="M14" s="229"/>
      <c r="N14" s="229"/>
      <c r="O14" s="229"/>
      <c r="P14" s="229"/>
      <c r="Q14" s="229"/>
      <c r="R14" s="229"/>
      <c r="S14" s="229"/>
      <c r="T14" s="229"/>
      <c r="U14" s="229"/>
      <c r="V14" s="229"/>
      <c r="W14" s="253"/>
      <c r="AB14" s="254"/>
      <c r="AC14" s="254"/>
      <c r="AD14" s="254"/>
      <c r="AE14" s="254"/>
      <c r="AF14" s="254"/>
    </row>
    <row r="15" spans="1:29" ht="12.75" customHeight="1">
      <c r="A15" s="256"/>
      <c r="B15" s="252" t="s">
        <v>223</v>
      </c>
      <c r="C15" s="229"/>
      <c r="D15" s="229"/>
      <c r="E15" s="229"/>
      <c r="F15" s="229"/>
      <c r="G15" s="229"/>
      <c r="H15" s="229"/>
      <c r="I15" s="229"/>
      <c r="J15" s="229"/>
      <c r="K15" s="229"/>
      <c r="L15" s="229"/>
      <c r="M15" s="229"/>
      <c r="N15" s="229"/>
      <c r="O15" s="229"/>
      <c r="P15" s="229"/>
      <c r="U15" s="229"/>
      <c r="V15" s="229"/>
      <c r="W15" s="253"/>
      <c r="Z15" s="228"/>
      <c r="AA15" s="228"/>
      <c r="AC15" s="257"/>
    </row>
    <row r="16" spans="1:29" ht="12.75" customHeight="1">
      <c r="A16" s="256"/>
      <c r="B16" s="252" t="s">
        <v>199</v>
      </c>
      <c r="C16" s="229"/>
      <c r="D16" s="229"/>
      <c r="E16" s="229"/>
      <c r="F16" s="229"/>
      <c r="G16" s="229"/>
      <c r="H16" s="229"/>
      <c r="I16" s="229"/>
      <c r="J16" s="229"/>
      <c r="K16" s="229"/>
      <c r="L16" s="229"/>
      <c r="M16" s="229"/>
      <c r="N16" s="229"/>
      <c r="O16" s="229"/>
      <c r="P16" s="229"/>
      <c r="U16" s="229"/>
      <c r="V16" s="229"/>
      <c r="W16" s="253"/>
      <c r="Z16" s="228"/>
      <c r="AA16" s="228"/>
      <c r="AC16" s="257"/>
    </row>
    <row r="17" spans="1:23" s="228" customFormat="1" ht="12.75" customHeight="1">
      <c r="A17" s="229"/>
      <c r="B17" s="252" t="s">
        <v>152</v>
      </c>
      <c r="C17" s="229"/>
      <c r="D17" s="229"/>
      <c r="E17" s="229"/>
      <c r="F17" s="229"/>
      <c r="G17" s="229"/>
      <c r="H17" s="229"/>
      <c r="I17" s="229"/>
      <c r="J17" s="229"/>
      <c r="K17" s="229"/>
      <c r="L17" s="229"/>
      <c r="M17" s="229"/>
      <c r="N17" s="229"/>
      <c r="O17" s="229"/>
      <c r="P17" s="229"/>
      <c r="Q17" s="229"/>
      <c r="R17" s="229"/>
      <c r="S17" s="229"/>
      <c r="T17" s="229"/>
      <c r="U17" s="229"/>
      <c r="V17" s="229"/>
      <c r="W17" s="253"/>
    </row>
    <row r="18" spans="2:26" ht="6" customHeight="1">
      <c r="B18" s="258"/>
      <c r="C18" s="259"/>
      <c r="D18" s="229"/>
      <c r="E18" s="229"/>
      <c r="F18" s="229"/>
      <c r="G18" s="229"/>
      <c r="H18" s="229"/>
      <c r="I18" s="229"/>
      <c r="J18" s="229"/>
      <c r="K18" s="229"/>
      <c r="L18" s="229"/>
      <c r="M18" s="229"/>
      <c r="N18" s="229"/>
      <c r="O18" s="229"/>
      <c r="P18" s="229"/>
      <c r="U18" s="229"/>
      <c r="V18" s="229"/>
      <c r="W18" s="253"/>
      <c r="Z18" s="228"/>
    </row>
    <row r="19" spans="2:28" ht="27.75" customHeight="1">
      <c r="B19" s="258"/>
      <c r="C19" s="260">
        <v>0</v>
      </c>
      <c r="D19" s="261" t="s">
        <v>56</v>
      </c>
      <c r="E19" s="79">
        <v>0.5</v>
      </c>
      <c r="F19" s="130" t="s">
        <v>57</v>
      </c>
      <c r="G19" s="79">
        <v>5</v>
      </c>
      <c r="H19" s="130" t="s">
        <v>58</v>
      </c>
      <c r="I19" s="79">
        <v>25</v>
      </c>
      <c r="J19" s="262" t="s">
        <v>59</v>
      </c>
      <c r="K19" s="263">
        <f>100-I19</f>
        <v>75</v>
      </c>
      <c r="L19" s="261" t="s">
        <v>60</v>
      </c>
      <c r="M19" s="263">
        <f>100-G19</f>
        <v>95</v>
      </c>
      <c r="N19" s="261" t="s">
        <v>61</v>
      </c>
      <c r="O19" s="263">
        <f>100-E19</f>
        <v>99.5</v>
      </c>
      <c r="P19" s="261" t="s">
        <v>62</v>
      </c>
      <c r="Q19" s="264">
        <v>100</v>
      </c>
      <c r="U19" s="229"/>
      <c r="V19" s="229"/>
      <c r="W19" s="253"/>
      <c r="Z19" s="228"/>
      <c r="AB19" s="228"/>
    </row>
    <row r="20" spans="2:28" ht="6" customHeight="1">
      <c r="B20" s="258"/>
      <c r="C20" s="265"/>
      <c r="D20" s="266"/>
      <c r="E20" s="267"/>
      <c r="F20" s="266"/>
      <c r="G20" s="267"/>
      <c r="H20" s="266"/>
      <c r="I20" s="267"/>
      <c r="J20" s="265"/>
      <c r="K20" s="268"/>
      <c r="L20" s="266"/>
      <c r="M20" s="268"/>
      <c r="N20" s="266"/>
      <c r="O20" s="268"/>
      <c r="P20" s="266"/>
      <c r="Q20" s="265"/>
      <c r="U20" s="229"/>
      <c r="V20" s="229"/>
      <c r="W20" s="253"/>
      <c r="Z20" s="228"/>
      <c r="AB20" s="228"/>
    </row>
    <row r="21" spans="2:28" ht="12" customHeight="1">
      <c r="B21" s="252" t="s">
        <v>224</v>
      </c>
      <c r="C21" s="265"/>
      <c r="D21" s="266"/>
      <c r="E21" s="267"/>
      <c r="F21" s="266"/>
      <c r="G21" s="267"/>
      <c r="H21" s="266"/>
      <c r="I21" s="267"/>
      <c r="J21" s="265"/>
      <c r="K21" s="268"/>
      <c r="L21" s="266"/>
      <c r="M21" s="268"/>
      <c r="N21" s="266"/>
      <c r="O21" s="268"/>
      <c r="P21" s="266"/>
      <c r="Q21" s="265"/>
      <c r="U21" s="229"/>
      <c r="V21" s="229"/>
      <c r="W21" s="253"/>
      <c r="Z21" s="228"/>
      <c r="AB21" s="228"/>
    </row>
    <row r="22" spans="1:29" ht="12.75" customHeight="1" thickBot="1">
      <c r="A22" s="256"/>
      <c r="B22" s="425" t="s">
        <v>225</v>
      </c>
      <c r="C22" s="272"/>
      <c r="D22" s="272"/>
      <c r="E22" s="272"/>
      <c r="F22" s="272"/>
      <c r="G22" s="272"/>
      <c r="H22" s="272"/>
      <c r="I22" s="272"/>
      <c r="J22" s="272"/>
      <c r="K22" s="272"/>
      <c r="L22" s="272"/>
      <c r="M22" s="272"/>
      <c r="N22" s="272"/>
      <c r="O22" s="272"/>
      <c r="P22" s="272"/>
      <c r="Q22" s="272"/>
      <c r="R22" s="272"/>
      <c r="S22" s="272"/>
      <c r="T22" s="272"/>
      <c r="U22" s="272"/>
      <c r="V22" s="272"/>
      <c r="W22" s="273"/>
      <c r="Z22" s="228"/>
      <c r="AA22" s="228"/>
      <c r="AC22" s="257"/>
    </row>
    <row r="23" spans="2:26" ht="3.75" customHeight="1" thickBot="1">
      <c r="B23" s="271"/>
      <c r="C23" s="272"/>
      <c r="D23" s="272"/>
      <c r="E23" s="272"/>
      <c r="F23" s="272"/>
      <c r="G23" s="272"/>
      <c r="H23" s="272"/>
      <c r="I23" s="272"/>
      <c r="J23" s="272"/>
      <c r="K23" s="272"/>
      <c r="L23" s="272"/>
      <c r="M23" s="272"/>
      <c r="N23" s="272"/>
      <c r="O23" s="272"/>
      <c r="P23" s="272"/>
      <c r="Q23" s="272"/>
      <c r="R23" s="272"/>
      <c r="S23" s="272"/>
      <c r="T23" s="272"/>
      <c r="U23" s="272"/>
      <c r="V23" s="272"/>
      <c r="W23" s="273"/>
      <c r="Z23" s="228"/>
    </row>
    <row r="24" spans="3:26" ht="12.75" customHeight="1" thickBot="1">
      <c r="C24" s="272"/>
      <c r="Z24" s="228"/>
    </row>
    <row r="25" spans="2:25" s="256" customFormat="1" ht="15.75" customHeight="1">
      <c r="B25" s="274" t="s">
        <v>226</v>
      </c>
      <c r="C25" s="275"/>
      <c r="D25" s="276"/>
      <c r="E25" s="277"/>
      <c r="F25" s="277"/>
      <c r="G25" s="277"/>
      <c r="H25" s="277"/>
      <c r="I25" s="277"/>
      <c r="J25" s="277"/>
      <c r="K25" s="277"/>
      <c r="L25" s="277"/>
      <c r="M25" s="277"/>
      <c r="N25" s="277"/>
      <c r="O25" s="277"/>
      <c r="P25" s="277"/>
      <c r="Q25" s="277"/>
      <c r="R25" s="277"/>
      <c r="S25" s="277"/>
      <c r="T25" s="277"/>
      <c r="U25" s="277"/>
      <c r="V25" s="277"/>
      <c r="W25" s="277"/>
      <c r="X25" s="277"/>
      <c r="Y25" s="278"/>
    </row>
    <row r="26" spans="1:26" ht="12.75" customHeight="1">
      <c r="A26" s="279"/>
      <c r="B26" s="252" t="s">
        <v>153</v>
      </c>
      <c r="C26" s="229"/>
      <c r="D26" s="280"/>
      <c r="E26" s="280"/>
      <c r="F26" s="280"/>
      <c r="G26" s="280"/>
      <c r="H26" s="280"/>
      <c r="I26" s="280"/>
      <c r="J26" s="280"/>
      <c r="K26" s="280"/>
      <c r="L26" s="280"/>
      <c r="M26" s="280"/>
      <c r="N26" s="280"/>
      <c r="O26" s="280"/>
      <c r="P26" s="280"/>
      <c r="Q26" s="280"/>
      <c r="R26" s="280"/>
      <c r="S26" s="280"/>
      <c r="T26" s="280"/>
      <c r="U26" s="280"/>
      <c r="V26" s="280"/>
      <c r="W26" s="280"/>
      <c r="X26" s="280"/>
      <c r="Y26" s="279"/>
      <c r="Z26" s="257"/>
    </row>
    <row r="27" spans="1:26" ht="12.75" customHeight="1">
      <c r="A27" s="279"/>
      <c r="B27" s="252" t="s">
        <v>29</v>
      </c>
      <c r="C27" s="229"/>
      <c r="D27" s="280"/>
      <c r="E27" s="280"/>
      <c r="F27" s="280"/>
      <c r="G27" s="280"/>
      <c r="H27" s="280"/>
      <c r="I27" s="280"/>
      <c r="J27" s="280"/>
      <c r="K27" s="280"/>
      <c r="L27" s="280"/>
      <c r="M27" s="280"/>
      <c r="N27" s="280"/>
      <c r="O27" s="280"/>
      <c r="P27" s="280"/>
      <c r="Q27" s="280"/>
      <c r="T27" s="280"/>
      <c r="U27" s="280"/>
      <c r="V27" s="280"/>
      <c r="W27" s="280"/>
      <c r="X27" s="280"/>
      <c r="Y27" s="279"/>
      <c r="Z27" s="257"/>
    </row>
    <row r="28" spans="1:26" ht="12.75" customHeight="1">
      <c r="A28" s="279"/>
      <c r="B28" s="252" t="s">
        <v>195</v>
      </c>
      <c r="C28" s="229"/>
      <c r="D28" s="280"/>
      <c r="E28" s="280"/>
      <c r="F28" s="280"/>
      <c r="G28" s="280"/>
      <c r="H28" s="280"/>
      <c r="I28" s="280"/>
      <c r="J28" s="280"/>
      <c r="K28" s="280"/>
      <c r="L28" s="280"/>
      <c r="M28" s="280"/>
      <c r="N28" s="280"/>
      <c r="O28" s="280"/>
      <c r="P28" s="280"/>
      <c r="Q28" s="280"/>
      <c r="T28" s="280"/>
      <c r="U28" s="280"/>
      <c r="V28" s="280"/>
      <c r="W28" s="280"/>
      <c r="X28" s="280"/>
      <c r="Y28" s="279"/>
      <c r="Z28" s="257"/>
    </row>
    <row r="29" spans="1:26" ht="12.75" customHeight="1">
      <c r="A29" s="279"/>
      <c r="B29" s="269" t="s">
        <v>154</v>
      </c>
      <c r="C29" s="229"/>
      <c r="D29" s="280"/>
      <c r="E29" s="280"/>
      <c r="F29" s="280"/>
      <c r="G29" s="280"/>
      <c r="H29" s="280"/>
      <c r="I29" s="280"/>
      <c r="J29" s="280"/>
      <c r="K29" s="280"/>
      <c r="L29" s="280"/>
      <c r="M29" s="280"/>
      <c r="N29" s="280"/>
      <c r="O29" s="280"/>
      <c r="P29" s="280"/>
      <c r="Q29" s="280"/>
      <c r="T29" s="280"/>
      <c r="U29" s="280"/>
      <c r="V29" s="280"/>
      <c r="W29" s="280"/>
      <c r="X29" s="280"/>
      <c r="Y29" s="279"/>
      <c r="Z29" s="257"/>
    </row>
    <row r="30" spans="1:26" ht="12.75" customHeight="1">
      <c r="A30" s="279"/>
      <c r="B30" s="269"/>
      <c r="C30" s="229" t="s">
        <v>214</v>
      </c>
      <c r="D30" s="280"/>
      <c r="E30" s="280"/>
      <c r="F30" s="280"/>
      <c r="G30" s="280"/>
      <c r="H30" s="280"/>
      <c r="I30" s="280"/>
      <c r="J30" s="280"/>
      <c r="K30" s="280"/>
      <c r="L30" s="280"/>
      <c r="M30" s="280"/>
      <c r="N30" s="280"/>
      <c r="O30" s="280"/>
      <c r="P30" s="280"/>
      <c r="Q30" s="280"/>
      <c r="T30" s="280"/>
      <c r="U30" s="280"/>
      <c r="V30" s="280"/>
      <c r="W30" s="280"/>
      <c r="X30" s="280"/>
      <c r="Y30" s="279"/>
      <c r="Z30" s="257"/>
    </row>
    <row r="31" spans="1:26" ht="12.75" customHeight="1">
      <c r="A31" s="279"/>
      <c r="B31" s="252" t="s">
        <v>200</v>
      </c>
      <c r="C31" s="229"/>
      <c r="D31" s="229"/>
      <c r="E31" s="229"/>
      <c r="F31" s="229"/>
      <c r="G31" s="229"/>
      <c r="H31" s="229"/>
      <c r="I31" s="229"/>
      <c r="J31" s="229"/>
      <c r="K31" s="229"/>
      <c r="L31" s="229"/>
      <c r="M31" s="229"/>
      <c r="N31" s="229"/>
      <c r="O31" s="229"/>
      <c r="P31" s="229"/>
      <c r="U31" s="229"/>
      <c r="V31" s="229"/>
      <c r="W31" s="229"/>
      <c r="X31" s="229"/>
      <c r="Y31" s="279"/>
      <c r="Z31" s="257"/>
    </row>
    <row r="32" spans="1:26" ht="12.75" customHeight="1">
      <c r="A32" s="279"/>
      <c r="B32" s="252"/>
      <c r="C32" s="229" t="s">
        <v>219</v>
      </c>
      <c r="D32" s="229"/>
      <c r="E32" s="229"/>
      <c r="F32" s="229"/>
      <c r="G32" s="229"/>
      <c r="H32" s="229"/>
      <c r="I32" s="229"/>
      <c r="J32" s="229"/>
      <c r="K32" s="229"/>
      <c r="L32" s="229"/>
      <c r="M32" s="229"/>
      <c r="N32" s="229"/>
      <c r="O32" s="229"/>
      <c r="P32" s="229"/>
      <c r="U32" s="229"/>
      <c r="V32" s="229"/>
      <c r="W32" s="229"/>
      <c r="X32" s="229"/>
      <c r="Y32" s="279"/>
      <c r="Z32" s="257"/>
    </row>
    <row r="33" spans="1:26" ht="12.75" customHeight="1">
      <c r="A33" s="279"/>
      <c r="B33" s="252"/>
      <c r="C33" s="229" t="s">
        <v>204</v>
      </c>
      <c r="D33" s="229"/>
      <c r="E33" s="229"/>
      <c r="F33" s="229"/>
      <c r="G33" s="229"/>
      <c r="H33" s="229"/>
      <c r="I33" s="229"/>
      <c r="J33" s="229"/>
      <c r="K33" s="229"/>
      <c r="L33" s="229"/>
      <c r="M33" s="229"/>
      <c r="N33" s="229"/>
      <c r="O33" s="229"/>
      <c r="P33" s="229"/>
      <c r="U33" s="229"/>
      <c r="V33" s="229"/>
      <c r="W33" s="229"/>
      <c r="X33" s="229"/>
      <c r="Y33" s="279"/>
      <c r="Z33" s="257"/>
    </row>
    <row r="34" spans="1:26" ht="12.75" customHeight="1">
      <c r="A34" s="279"/>
      <c r="B34" s="258"/>
      <c r="C34" s="229" t="s">
        <v>277</v>
      </c>
      <c r="D34" s="229"/>
      <c r="E34" s="229"/>
      <c r="F34" s="229"/>
      <c r="G34" s="229"/>
      <c r="H34" s="229"/>
      <c r="I34" s="229"/>
      <c r="J34" s="229"/>
      <c r="K34" s="229"/>
      <c r="L34" s="229"/>
      <c r="M34" s="229"/>
      <c r="N34" s="229"/>
      <c r="O34" s="229"/>
      <c r="P34" s="229"/>
      <c r="U34" s="229"/>
      <c r="V34" s="229"/>
      <c r="W34" s="229"/>
      <c r="X34" s="229"/>
      <c r="Y34" s="279"/>
      <c r="Z34" s="257"/>
    </row>
    <row r="35" spans="1:26" ht="12.75" customHeight="1">
      <c r="A35" s="279"/>
      <c r="B35" s="252" t="s">
        <v>155</v>
      </c>
      <c r="C35" s="229"/>
      <c r="D35" s="255"/>
      <c r="E35" s="255"/>
      <c r="F35" s="255"/>
      <c r="G35" s="255"/>
      <c r="H35" s="255"/>
      <c r="I35" s="255"/>
      <c r="J35" s="255"/>
      <c r="K35" s="255"/>
      <c r="L35" s="255"/>
      <c r="M35" s="255"/>
      <c r="N35" s="255"/>
      <c r="O35" s="255"/>
      <c r="P35" s="255"/>
      <c r="Q35" s="255"/>
      <c r="R35" s="256"/>
      <c r="S35" s="256"/>
      <c r="T35" s="255"/>
      <c r="U35" s="255"/>
      <c r="V35" s="255"/>
      <c r="W35" s="255"/>
      <c r="X35" s="255"/>
      <c r="Y35" s="279"/>
      <c r="Z35" s="257"/>
    </row>
    <row r="36" spans="1:26" ht="12.75" customHeight="1">
      <c r="A36" s="279"/>
      <c r="B36" s="252"/>
      <c r="C36" s="229" t="s">
        <v>156</v>
      </c>
      <c r="D36" s="255"/>
      <c r="E36" s="255"/>
      <c r="F36" s="255"/>
      <c r="G36" s="255"/>
      <c r="H36" s="255"/>
      <c r="I36" s="255"/>
      <c r="J36" s="255"/>
      <c r="K36" s="255"/>
      <c r="L36" s="255"/>
      <c r="M36" s="255"/>
      <c r="N36" s="255"/>
      <c r="O36" s="255"/>
      <c r="P36" s="255"/>
      <c r="Q36" s="255"/>
      <c r="R36" s="256"/>
      <c r="S36" s="256"/>
      <c r="T36" s="255"/>
      <c r="U36" s="255"/>
      <c r="V36" s="255"/>
      <c r="W36" s="255"/>
      <c r="X36" s="255"/>
      <c r="Y36" s="279"/>
      <c r="Z36" s="257"/>
    </row>
    <row r="37" spans="1:26" ht="12.75" customHeight="1">
      <c r="A37" s="279"/>
      <c r="B37" s="258"/>
      <c r="C37" s="229" t="s">
        <v>196</v>
      </c>
      <c r="D37" s="229"/>
      <c r="E37" s="229"/>
      <c r="F37" s="229"/>
      <c r="G37" s="229"/>
      <c r="H37" s="229"/>
      <c r="I37" s="229"/>
      <c r="J37" s="229"/>
      <c r="K37" s="229"/>
      <c r="L37" s="229"/>
      <c r="M37" s="229"/>
      <c r="N37" s="229"/>
      <c r="O37" s="256"/>
      <c r="P37" s="229"/>
      <c r="U37" s="229"/>
      <c r="V37" s="229"/>
      <c r="W37" s="229"/>
      <c r="X37" s="229"/>
      <c r="Y37" s="279"/>
      <c r="Z37" s="257"/>
    </row>
    <row r="38" spans="1:26" ht="12.75" customHeight="1">
      <c r="A38" s="279"/>
      <c r="B38" s="252"/>
      <c r="C38" s="229" t="s">
        <v>9</v>
      </c>
      <c r="D38" s="229"/>
      <c r="E38" s="229"/>
      <c r="F38" s="229"/>
      <c r="G38" s="229"/>
      <c r="H38" s="229"/>
      <c r="I38" s="229"/>
      <c r="J38" s="229"/>
      <c r="K38" s="229"/>
      <c r="L38" s="229"/>
      <c r="M38" s="229"/>
      <c r="N38" s="229"/>
      <c r="O38" s="229"/>
      <c r="P38" s="256" t="s">
        <v>69</v>
      </c>
      <c r="R38" s="256"/>
      <c r="S38" s="256"/>
      <c r="U38" s="229"/>
      <c r="V38" s="229"/>
      <c r="W38" s="229"/>
      <c r="X38" s="229"/>
      <c r="Y38" s="279"/>
      <c r="Z38" s="257"/>
    </row>
    <row r="39" spans="1:26" ht="12.75" customHeight="1">
      <c r="A39" s="279"/>
      <c r="B39" s="252"/>
      <c r="C39" s="229" t="s">
        <v>10</v>
      </c>
      <c r="D39" s="229"/>
      <c r="E39" s="229"/>
      <c r="F39" s="229"/>
      <c r="G39" s="229"/>
      <c r="H39" s="229"/>
      <c r="I39" s="229"/>
      <c r="J39" s="229"/>
      <c r="K39" s="229"/>
      <c r="L39" s="229"/>
      <c r="M39" s="229"/>
      <c r="N39" s="229"/>
      <c r="O39" s="229"/>
      <c r="U39" s="229"/>
      <c r="V39" s="229"/>
      <c r="W39" s="229"/>
      <c r="X39" s="229"/>
      <c r="Y39" s="279"/>
      <c r="Z39" s="257"/>
    </row>
    <row r="40" spans="1:26" ht="12.75" customHeight="1">
      <c r="A40" s="279"/>
      <c r="B40" s="252"/>
      <c r="C40" s="229" t="s">
        <v>11</v>
      </c>
      <c r="D40" s="229"/>
      <c r="E40" s="229"/>
      <c r="F40" s="229"/>
      <c r="G40" s="229"/>
      <c r="H40" s="229"/>
      <c r="I40" s="229"/>
      <c r="J40" s="229"/>
      <c r="K40" s="229"/>
      <c r="L40" s="229"/>
      <c r="M40" s="229"/>
      <c r="N40" s="229"/>
      <c r="O40" s="229"/>
      <c r="P40" s="229"/>
      <c r="U40" s="229"/>
      <c r="V40" s="229"/>
      <c r="W40" s="229"/>
      <c r="X40" s="229"/>
      <c r="Y40" s="279"/>
      <c r="Z40" s="257"/>
    </row>
    <row r="41" spans="1:26" ht="12.75" customHeight="1">
      <c r="A41" s="279"/>
      <c r="B41" s="252"/>
      <c r="C41" s="229" t="s">
        <v>157</v>
      </c>
      <c r="D41" s="229"/>
      <c r="E41" s="229"/>
      <c r="F41" s="229"/>
      <c r="G41" s="229"/>
      <c r="H41" s="229"/>
      <c r="I41" s="229"/>
      <c r="J41" s="229"/>
      <c r="K41" s="229"/>
      <c r="L41" s="229"/>
      <c r="M41" s="229"/>
      <c r="N41" s="229"/>
      <c r="O41" s="229"/>
      <c r="P41" s="229"/>
      <c r="U41" s="229"/>
      <c r="V41" s="229"/>
      <c r="W41" s="229"/>
      <c r="X41" s="229"/>
      <c r="Y41" s="279"/>
      <c r="Z41" s="257"/>
    </row>
    <row r="42" spans="1:26" ht="10.5" customHeight="1">
      <c r="A42" s="256"/>
      <c r="B42" s="281"/>
      <c r="C42" s="282"/>
      <c r="D42" s="282"/>
      <c r="E42" s="282"/>
      <c r="F42" s="282"/>
      <c r="G42" s="282"/>
      <c r="H42" s="282"/>
      <c r="I42" s="282"/>
      <c r="J42" s="282"/>
      <c r="K42" s="282"/>
      <c r="L42" s="282"/>
      <c r="M42" s="282"/>
      <c r="N42" s="282"/>
      <c r="O42" s="282"/>
      <c r="P42" s="282"/>
      <c r="Q42" s="282"/>
      <c r="R42" s="282"/>
      <c r="S42" s="282"/>
      <c r="T42" s="282"/>
      <c r="U42" s="282"/>
      <c r="V42" s="282"/>
      <c r="W42" s="282"/>
      <c r="X42" s="282"/>
      <c r="Y42" s="283"/>
      <c r="Z42" s="257"/>
    </row>
    <row r="43" spans="1:26" ht="12.75" customHeight="1">
      <c r="A43" s="256"/>
      <c r="B43" s="281"/>
      <c r="C43" s="284" t="s">
        <v>227</v>
      </c>
      <c r="D43" s="285"/>
      <c r="E43" s="285"/>
      <c r="F43" s="285"/>
      <c r="G43" s="285"/>
      <c r="H43" s="285"/>
      <c r="I43" s="285"/>
      <c r="J43" s="285"/>
      <c r="K43" s="285"/>
      <c r="L43" s="285"/>
      <c r="M43" s="285"/>
      <c r="N43" s="285"/>
      <c r="O43" s="285"/>
      <c r="P43" s="285"/>
      <c r="Q43" s="285"/>
      <c r="R43" s="285"/>
      <c r="S43" s="285"/>
      <c r="T43" s="285"/>
      <c r="U43" s="285"/>
      <c r="V43" s="285"/>
      <c r="W43" s="286"/>
      <c r="X43" s="282"/>
      <c r="Y43" s="283"/>
      <c r="Z43" s="257"/>
    </row>
    <row r="44" spans="1:26" ht="12.75" customHeight="1">
      <c r="A44" s="256"/>
      <c r="B44" s="287"/>
      <c r="C44" s="288"/>
      <c r="D44" s="289"/>
      <c r="E44" s="289"/>
      <c r="F44" s="289"/>
      <c r="G44" s="289"/>
      <c r="H44" s="289"/>
      <c r="I44" s="289"/>
      <c r="J44" s="290"/>
      <c r="K44" s="289"/>
      <c r="L44" s="290"/>
      <c r="M44" s="290" t="s">
        <v>228</v>
      </c>
      <c r="N44" s="291">
        <v>0.27</v>
      </c>
      <c r="O44" s="291">
        <v>1.05</v>
      </c>
      <c r="P44" s="292" t="s">
        <v>229</v>
      </c>
      <c r="Q44" s="292"/>
      <c r="R44" s="289"/>
      <c r="S44" s="289"/>
      <c r="T44" s="289"/>
      <c r="U44" s="289"/>
      <c r="V44" s="289"/>
      <c r="W44" s="293"/>
      <c r="X44" s="282"/>
      <c r="Y44" s="283"/>
      <c r="Z44" s="257"/>
    </row>
    <row r="45" spans="1:26" ht="12.75" customHeight="1">
      <c r="A45" s="256"/>
      <c r="B45" s="287"/>
      <c r="C45" s="294" t="s">
        <v>230</v>
      </c>
      <c r="D45" s="292"/>
      <c r="E45" s="289"/>
      <c r="F45" s="289"/>
      <c r="G45" s="289"/>
      <c r="H45" s="289"/>
      <c r="I45" s="289"/>
      <c r="J45" s="290"/>
      <c r="K45" s="289"/>
      <c r="L45" s="290"/>
      <c r="M45" s="290"/>
      <c r="N45" s="295"/>
      <c r="O45" s="289"/>
      <c r="P45" s="289"/>
      <c r="Q45" s="292"/>
      <c r="R45" s="289"/>
      <c r="S45" s="289"/>
      <c r="T45" s="289"/>
      <c r="U45" s="289"/>
      <c r="V45" s="289"/>
      <c r="W45" s="293"/>
      <c r="X45" s="282"/>
      <c r="Y45" s="283"/>
      <c r="Z45" s="257"/>
    </row>
    <row r="46" spans="1:26" ht="12.75" customHeight="1">
      <c r="A46" s="256"/>
      <c r="B46" s="287"/>
      <c r="C46" s="288"/>
      <c r="D46" s="289"/>
      <c r="E46" s="289"/>
      <c r="F46" s="289"/>
      <c r="G46" s="290" t="s">
        <v>231</v>
      </c>
      <c r="H46" s="296">
        <f>(N44-N55)^2+(O44-O55)^2</f>
        <v>0.2521383322127222</v>
      </c>
      <c r="I46" s="289" t="s">
        <v>232</v>
      </c>
      <c r="J46" s="289"/>
      <c r="K46" s="289"/>
      <c r="L46" s="289"/>
      <c r="M46" s="289"/>
      <c r="N46" s="289"/>
      <c r="O46" s="289"/>
      <c r="P46" s="289"/>
      <c r="Q46" s="289"/>
      <c r="R46" s="289"/>
      <c r="S46" s="289"/>
      <c r="T46" s="289"/>
      <c r="U46" s="289"/>
      <c r="V46" s="289"/>
      <c r="W46" s="293"/>
      <c r="X46" s="282"/>
      <c r="Y46" s="283"/>
      <c r="Z46" s="257"/>
    </row>
    <row r="47" spans="1:26" ht="12.75" customHeight="1">
      <c r="A47" s="256"/>
      <c r="B47" s="287"/>
      <c r="C47" s="288" t="s">
        <v>233</v>
      </c>
      <c r="D47" s="289"/>
      <c r="E47" s="289"/>
      <c r="F47" s="289"/>
      <c r="G47" s="289"/>
      <c r="H47" s="289"/>
      <c r="I47" s="289"/>
      <c r="J47" s="289"/>
      <c r="K47" s="289"/>
      <c r="L47" s="289"/>
      <c r="M47" s="289"/>
      <c r="N47" s="290"/>
      <c r="O47" s="297"/>
      <c r="P47" s="289"/>
      <c r="Q47" s="289"/>
      <c r="R47" s="289"/>
      <c r="S47" s="289"/>
      <c r="T47" s="289"/>
      <c r="U47" s="289"/>
      <c r="V47" s="289"/>
      <c r="W47" s="293"/>
      <c r="X47" s="282"/>
      <c r="Y47" s="283"/>
      <c r="Z47" s="257"/>
    </row>
    <row r="48" spans="1:26" ht="12.75" customHeight="1">
      <c r="A48" s="256"/>
      <c r="B48" s="287"/>
      <c r="C48" s="298" t="s">
        <v>234</v>
      </c>
      <c r="D48" s="299"/>
      <c r="E48" s="299"/>
      <c r="F48" s="299"/>
      <c r="G48" s="299"/>
      <c r="H48" s="299"/>
      <c r="I48" s="299"/>
      <c r="J48" s="299"/>
      <c r="K48" s="299"/>
      <c r="L48" s="299"/>
      <c r="M48" s="299"/>
      <c r="N48" s="300"/>
      <c r="O48" s="301"/>
      <c r="P48" s="299"/>
      <c r="Q48" s="299"/>
      <c r="R48" s="299"/>
      <c r="S48" s="299"/>
      <c r="T48" s="299"/>
      <c r="U48" s="299"/>
      <c r="V48" s="299"/>
      <c r="W48" s="302"/>
      <c r="X48" s="282"/>
      <c r="Y48" s="283"/>
      <c r="Z48" s="257"/>
    </row>
    <row r="49" spans="2:25" ht="7.5" customHeight="1">
      <c r="B49" s="287"/>
      <c r="C49" s="303"/>
      <c r="D49" s="303"/>
      <c r="E49" s="304"/>
      <c r="F49" s="304"/>
      <c r="G49" s="304"/>
      <c r="H49" s="304"/>
      <c r="I49" s="304"/>
      <c r="J49" s="304"/>
      <c r="K49" s="304"/>
      <c r="L49" s="305"/>
      <c r="M49" s="304"/>
      <c r="N49" s="304"/>
      <c r="O49" s="304"/>
      <c r="P49" s="304"/>
      <c r="Q49" s="304"/>
      <c r="R49" s="304"/>
      <c r="S49" s="304"/>
      <c r="T49" s="304"/>
      <c r="U49" s="304"/>
      <c r="V49" s="304"/>
      <c r="W49" s="304"/>
      <c r="X49" s="304"/>
      <c r="Y49" s="306"/>
    </row>
    <row r="50" spans="2:25" ht="12.75" customHeight="1">
      <c r="B50" s="287"/>
      <c r="C50" s="289" t="s">
        <v>235</v>
      </c>
      <c r="D50" s="289"/>
      <c r="E50" s="289"/>
      <c r="F50" s="289"/>
      <c r="G50" s="289"/>
      <c r="H50" s="289"/>
      <c r="I50" s="289"/>
      <c r="J50" s="289"/>
      <c r="K50" s="289"/>
      <c r="L50" s="289"/>
      <c r="M50" s="289"/>
      <c r="N50" s="289"/>
      <c r="O50" s="289"/>
      <c r="P50" s="289"/>
      <c r="Q50" s="289"/>
      <c r="R50" s="289"/>
      <c r="S50" s="289"/>
      <c r="T50" s="289"/>
      <c r="U50" s="289"/>
      <c r="V50" s="289"/>
      <c r="W50" s="289"/>
      <c r="X50" s="289"/>
      <c r="Y50" s="307"/>
    </row>
    <row r="51" spans="2:25" ht="5.25" customHeight="1">
      <c r="B51" s="308"/>
      <c r="C51" s="282"/>
      <c r="D51" s="282"/>
      <c r="E51" s="282"/>
      <c r="F51" s="282"/>
      <c r="G51" s="282"/>
      <c r="H51" s="282"/>
      <c r="I51" s="282"/>
      <c r="J51" s="282"/>
      <c r="K51" s="282"/>
      <c r="L51" s="282"/>
      <c r="M51" s="282"/>
      <c r="N51" s="282"/>
      <c r="O51" s="282"/>
      <c r="P51" s="282"/>
      <c r="Q51" s="282"/>
      <c r="R51" s="282"/>
      <c r="S51" s="282"/>
      <c r="T51" s="282"/>
      <c r="U51" s="282"/>
      <c r="V51" s="282"/>
      <c r="W51" s="282"/>
      <c r="X51" s="282"/>
      <c r="Y51" s="307"/>
    </row>
    <row r="52" spans="2:29" ht="12.75" customHeight="1">
      <c r="B52" s="308"/>
      <c r="C52" s="282"/>
      <c r="D52" s="560" t="s">
        <v>192</v>
      </c>
      <c r="E52" s="561"/>
      <c r="F52" s="561"/>
      <c r="G52" s="561"/>
      <c r="H52" s="561"/>
      <c r="I52" s="561"/>
      <c r="J52" s="562"/>
      <c r="K52" s="563" t="s">
        <v>63</v>
      </c>
      <c r="L52" s="564"/>
      <c r="M52" s="560" t="s">
        <v>191</v>
      </c>
      <c r="N52" s="561"/>
      <c r="O52" s="561"/>
      <c r="P52" s="561"/>
      <c r="Q52" s="561"/>
      <c r="R52" s="562"/>
      <c r="S52" s="565" t="s">
        <v>64</v>
      </c>
      <c r="T52" s="566"/>
      <c r="U52" s="566"/>
      <c r="V52" s="566"/>
      <c r="W52" s="566"/>
      <c r="X52" s="567"/>
      <c r="Y52" s="307"/>
      <c r="AA52" s="228"/>
      <c r="AB52" s="228"/>
      <c r="AC52" s="228"/>
    </row>
    <row r="53" spans="2:29" ht="12.75" customHeight="1">
      <c r="B53" s="311"/>
      <c r="C53" s="568" t="s">
        <v>19</v>
      </c>
      <c r="D53" s="570" t="s">
        <v>158</v>
      </c>
      <c r="E53" s="572" t="s">
        <v>21</v>
      </c>
      <c r="F53" s="574" t="s">
        <v>159</v>
      </c>
      <c r="G53" s="575"/>
      <c r="H53" s="576"/>
      <c r="I53" s="577" t="s">
        <v>160</v>
      </c>
      <c r="J53" s="577"/>
      <c r="K53" s="313" t="s">
        <v>72</v>
      </c>
      <c r="L53" s="314" t="s">
        <v>71</v>
      </c>
      <c r="M53" s="315" t="s">
        <v>161</v>
      </c>
      <c r="N53" s="316" t="str">
        <f>J55&amp;"% compatibility limits"</f>
        <v>90% compatibility limits</v>
      </c>
      <c r="O53" s="316"/>
      <c r="P53" s="317"/>
      <c r="Q53" s="563" t="s">
        <v>162</v>
      </c>
      <c r="R53" s="564"/>
      <c r="S53" s="578" t="str">
        <f>"...beneficial or
substantially "&amp;K54</f>
        <v>...beneficial or
substantially +ive</v>
      </c>
      <c r="T53" s="579"/>
      <c r="U53" s="582" t="s">
        <v>70</v>
      </c>
      <c r="V53" s="583"/>
      <c r="W53" s="586" t="str">
        <f>"...harmful or 
substantially "&amp;L54</f>
        <v>...harmful or 
substantially –ive</v>
      </c>
      <c r="X53" s="587"/>
      <c r="Y53" s="590" t="s">
        <v>125</v>
      </c>
      <c r="Z53" s="592" t="s">
        <v>41</v>
      </c>
      <c r="AA53" s="228"/>
      <c r="AB53" s="228"/>
      <c r="AC53" s="228"/>
    </row>
    <row r="54" spans="2:31" ht="13.5" customHeight="1">
      <c r="B54" s="311"/>
      <c r="C54" s="569"/>
      <c r="D54" s="571"/>
      <c r="E54" s="573"/>
      <c r="F54" s="309" t="s">
        <v>15</v>
      </c>
      <c r="G54" s="319" t="s">
        <v>16</v>
      </c>
      <c r="H54" s="320" t="s">
        <v>101</v>
      </c>
      <c r="I54" s="321" t="s">
        <v>236</v>
      </c>
      <c r="J54" s="320" t="s">
        <v>163</v>
      </c>
      <c r="K54" s="322" t="str">
        <f>IF(ISBLANK(K55),"???",IF(K55&lt;0,"–ive","+ive"))</f>
        <v>+ive</v>
      </c>
      <c r="L54" s="323" t="str">
        <f>IF(TYPE(L55)=2,"???",IF(L55&lt;0,"–ive","+ive"))</f>
        <v>–ive</v>
      </c>
      <c r="M54" s="324" t="s">
        <v>164</v>
      </c>
      <c r="N54" s="310" t="s">
        <v>0</v>
      </c>
      <c r="O54" s="320" t="s">
        <v>1</v>
      </c>
      <c r="P54" s="312" t="s">
        <v>2</v>
      </c>
      <c r="Q54" s="325" t="s">
        <v>66</v>
      </c>
      <c r="R54" s="326" t="s">
        <v>138</v>
      </c>
      <c r="S54" s="580"/>
      <c r="T54" s="581"/>
      <c r="U54" s="584"/>
      <c r="V54" s="585"/>
      <c r="W54" s="588"/>
      <c r="X54" s="589"/>
      <c r="Y54" s="591"/>
      <c r="Z54" s="593"/>
      <c r="AA54" s="327" t="s">
        <v>4</v>
      </c>
      <c r="AB54" s="328" t="s">
        <v>32</v>
      </c>
      <c r="AC54" s="329" t="s">
        <v>5</v>
      </c>
      <c r="AD54" s="330" t="s">
        <v>6</v>
      </c>
      <c r="AE54" s="330" t="s">
        <v>33</v>
      </c>
    </row>
    <row r="55" spans="2:31" s="331" customFormat="1" ht="18" customHeight="1">
      <c r="B55" s="311"/>
      <c r="C55" s="332" t="s">
        <v>165</v>
      </c>
      <c r="D55" s="333">
        <v>0</v>
      </c>
      <c r="E55" s="334">
        <v>999</v>
      </c>
      <c r="F55" s="335"/>
      <c r="G55" s="335"/>
      <c r="H55" s="335">
        <v>4</v>
      </c>
      <c r="I55" s="334">
        <v>90</v>
      </c>
      <c r="J55" s="594">
        <f>100-2*$G$19</f>
        <v>90</v>
      </c>
      <c r="K55" s="596">
        <v>0.2</v>
      </c>
      <c r="L55" s="598">
        <f>IF(ISBLANK(K55)," ",-K55)</f>
        <v>-0.2</v>
      </c>
      <c r="M55" s="600">
        <f>AE55</f>
        <v>0.5815696091152533</v>
      </c>
      <c r="N55" s="602">
        <f>AE55-TINV((100-J55)/100,AD55)*AC55</f>
        <v>-0.15472194419211072</v>
      </c>
      <c r="O55" s="602">
        <f>AE55+TINV((100-J55)/100,AD55)*AC55</f>
        <v>1.3178611624226173</v>
      </c>
      <c r="P55" s="602">
        <f>(O55-N55)/2</f>
        <v>0.736291553307364</v>
      </c>
      <c r="Q55" s="603" t="str">
        <f>IF(S55&lt;$I$19,IF(MAX(U55,W55)=U55,U56&amp;" trivial; don't use",W56&amp;" harmful; don't use"),IF(W55&lt;$E$19,S56&amp;" beneficial; consider using","unclear; don't use; get more data"))</f>
        <v>unclear; don't use; get more data</v>
      </c>
      <c r="R55" s="603" t="str">
        <f>IF(MIN(S55,W55)&gt;$G$19,"unclear; get more data",IF(MAX(S55,U55,W55)=S55,S56&amp;" "&amp;K54,IF(MAX(S55,U55,W55)=U55,U56&amp;" trivial",W56&amp;" "&amp;L54)))</f>
        <v>likely +ive</v>
      </c>
      <c r="S55" s="336">
        <f>100*IF(K55&gt;0,IF(AE55-K55&gt;0,1-TDIST((AE55-K55)/AC55,AD55,1),TDIST((K55-AE55)/AC55,AD55,1)),IF(AE55-K55&gt;0,TDIST((AE55-K55)/AC55,AD55,1),1-TDIST((K55-AE55)/AC55,AD55,1)))</f>
        <v>80.92914076665106</v>
      </c>
      <c r="T55" s="337" t="s">
        <v>65</v>
      </c>
      <c r="U55" s="336">
        <f>100-S55-W55</f>
        <v>14.963855349788897</v>
      </c>
      <c r="V55" s="337" t="s">
        <v>65</v>
      </c>
      <c r="W55" s="336">
        <f>100*IF(L55&gt;0,IF(AE55-L55&gt;0,1-TDIST((AE55-L55)/AC55,AD55,1),TDIST((L55-AE55)/AC55,AD55,1)),IF(AE55-L55&gt;0,TDIST((AE55-L55)/AC55,AD55,1),1-TDIST((L55-AE55)/AC55,AD55,1)))</f>
        <v>4.1070038835600435</v>
      </c>
      <c r="X55" s="337" t="s">
        <v>65</v>
      </c>
      <c r="Y55" s="338">
        <f>S55/(100-S55)/(W55/(100-W55))</f>
        <v>99.08238308950227</v>
      </c>
      <c r="Z55" s="339">
        <f>1/AA55^2/(1/AA55^2+1/AA56^2)</f>
        <v>0.030717318141244353</v>
      </c>
      <c r="AA55" s="340">
        <f>IF(ISNUMBER(D55),IF(ISNUMBER(H55),H55,(G55-F55)/2)/TINV(1-I55/100,E55),"")</f>
        <v>2.429572249880923</v>
      </c>
      <c r="AB55" s="341">
        <f>IF(ISBLANK(D55),"",1/E55)</f>
        <v>0.001001001001001001</v>
      </c>
      <c r="AC55" s="604">
        <f>SQRT(SUMPRODUCT(AA55:AA56,AA55:AA56,Z55:Z56,Z55:Z56))</f>
        <v>0.42581550034872173</v>
      </c>
      <c r="AD55" s="604">
        <f>SUMPRODUCT(AA55:AA56,AA55:AA56,Z55:Z56,Z55:Z56)^2/SUMPRODUCT(AA55:AA56,AA55:AA56,AA55:AA56,AA55:AA56,Z55:Z56,Z55:Z56,Z55:Z56,Z55:Z56,AB55:AB56)</f>
        <v>19.158598660301962</v>
      </c>
      <c r="AE55" s="604">
        <f>SUMPRODUCT(Z55:Z56,D55:D56)</f>
        <v>0.5815696091152533</v>
      </c>
    </row>
    <row r="56" spans="2:31" s="331" customFormat="1" ht="18" customHeight="1">
      <c r="B56" s="311"/>
      <c r="C56" s="332" t="s">
        <v>166</v>
      </c>
      <c r="D56" s="333">
        <v>0.6</v>
      </c>
      <c r="E56" s="334">
        <v>18</v>
      </c>
      <c r="F56" s="335">
        <v>-0.15</v>
      </c>
      <c r="G56" s="335">
        <v>1.35</v>
      </c>
      <c r="H56" s="335"/>
      <c r="I56" s="342">
        <f>I55</f>
        <v>90</v>
      </c>
      <c r="J56" s="595"/>
      <c r="K56" s="597"/>
      <c r="L56" s="599"/>
      <c r="M56" s="601"/>
      <c r="N56" s="600"/>
      <c r="O56" s="600"/>
      <c r="P56" s="600"/>
      <c r="Q56" s="603"/>
      <c r="R56" s="603"/>
      <c r="S56" s="605" t="str">
        <f>IF(S55&lt;$E$19,$D$19,IF(S55&lt;$G$19,$F$19,IF(S55&lt;$I$19,$H$19,IF(S55&lt;$K$19,$J$19,IF(S55&lt;$M$19,$L$19,IF(S55&lt;$O$19,$N$19,$P$19))))))</f>
        <v>likely</v>
      </c>
      <c r="T56" s="606"/>
      <c r="U56" s="605" t="str">
        <f>IF(U55&lt;$E$19,$D$19,IF(U55&lt;$G$19,$F$19,IF(U55&lt;$I$19,$H$19,IF(U55&lt;$K$19,$J$19,IF(U55&lt;$M$19,$L$19,IF(U55&lt;$O$19,$N$19,$P$19))))))</f>
        <v>unlikely</v>
      </c>
      <c r="V56" s="606"/>
      <c r="W56" s="605" t="str">
        <f>IF(W55&lt;$E$19,$D$19,IF(W55&lt;$G$19,$F$19,IF(W55&lt;$I$19,$H$19,IF(W55&lt;$K$19,$J$19,IF(W55&lt;$M$19,$L$19,IF(W55&lt;$O$19,$N$19,$P$19))))))</f>
        <v>very unlikely</v>
      </c>
      <c r="X56" s="606"/>
      <c r="Y56" s="343"/>
      <c r="Z56" s="339">
        <f>1-Z55</f>
        <v>0.9692826818587557</v>
      </c>
      <c r="AA56" s="340">
        <f>IF(ISNUMBER(D56),IF(ISNUMBER(H56),H56,(G56-F56)/2)/TINV(1-I56/100,E56),"")</f>
        <v>0.4325100862147429</v>
      </c>
      <c r="AB56" s="341">
        <f>IF(ISBLANK(D56),"",1/E56)</f>
        <v>0.05555555555555555</v>
      </c>
      <c r="AC56" s="604"/>
      <c r="AD56" s="604"/>
      <c r="AE56" s="604"/>
    </row>
    <row r="57" spans="2:28" ht="13.5" customHeight="1" thickBot="1">
      <c r="B57" s="344"/>
      <c r="C57" s="345"/>
      <c r="D57" s="346"/>
      <c r="E57" s="346"/>
      <c r="F57" s="346"/>
      <c r="G57" s="346"/>
      <c r="H57" s="346"/>
      <c r="I57" s="346"/>
      <c r="J57" s="346"/>
      <c r="K57" s="346"/>
      <c r="L57" s="346"/>
      <c r="M57" s="346"/>
      <c r="N57" s="346"/>
      <c r="O57" s="346"/>
      <c r="P57" s="346"/>
      <c r="Q57" s="347" t="str">
        <f>IF(AND(W55&gt;$E$19,Y55&gt;$I$19/$K$19/($E$19/$O$19)),"Less conservative clinical: '"&amp;S56&amp;" beneficial, consider using' because odds ratio is &gt;"&amp;ROUND($I$19/$K$19/($E$19/$O$19),1)&amp;".","")</f>
        <v>Less conservative clinical: 'likely beneficial, consider using' because odds ratio is &gt;66.3.</v>
      </c>
      <c r="R57" s="348"/>
      <c r="S57" s="348"/>
      <c r="T57" s="348"/>
      <c r="U57" s="348"/>
      <c r="V57" s="348"/>
      <c r="W57" s="348"/>
      <c r="X57" s="348"/>
      <c r="Y57" s="349"/>
      <c r="Z57" s="350" t="str">
        <f>IF(AND(COUNTIF(Z55:Z56,"=1")=SUM(Z55:Z56),SUM(Z55:Z56)&gt;1),"Decision is for the addition (simultaneous use) of effects marked with 1s",IF(SUMPRODUCT(Z55:Z56,Z55:Z56)&gt;2,"ERROR: bad weights",IF(OR(SUM(Z55:Z56)=1,SUM(Z55:Z56)=0),"Good weights","ERROR: weights do not add to 1 or 0")))</f>
        <v>Good weights</v>
      </c>
      <c r="AA57" s="351"/>
      <c r="AB57" s="351"/>
    </row>
    <row r="58" spans="2:29" ht="13.5" thickBot="1">
      <c r="B58" s="352"/>
      <c r="C58" s="353"/>
      <c r="D58" s="353"/>
      <c r="E58" s="353"/>
      <c r="F58" s="354"/>
      <c r="G58" s="355"/>
      <c r="H58" s="353"/>
      <c r="I58" s="353"/>
      <c r="J58" s="353"/>
      <c r="K58" s="353"/>
      <c r="L58" s="353"/>
      <c r="M58" s="353"/>
      <c r="N58" s="353"/>
      <c r="O58" s="353"/>
      <c r="P58" s="353"/>
      <c r="Q58" s="353"/>
      <c r="R58" s="353"/>
      <c r="S58" s="353"/>
      <c r="T58" s="353"/>
      <c r="U58" s="353"/>
      <c r="V58" s="353"/>
      <c r="W58" s="353"/>
      <c r="X58" s="353"/>
      <c r="Y58" s="356"/>
      <c r="Z58" s="357"/>
      <c r="AC58" s="228"/>
    </row>
    <row r="59" spans="2:26" s="256" customFormat="1" ht="15.75" customHeight="1">
      <c r="B59" s="274" t="s">
        <v>237</v>
      </c>
      <c r="C59" s="275"/>
      <c r="D59" s="277"/>
      <c r="E59" s="277"/>
      <c r="F59" s="277"/>
      <c r="G59" s="277"/>
      <c r="H59" s="277"/>
      <c r="I59" s="277"/>
      <c r="J59" s="277"/>
      <c r="K59" s="277"/>
      <c r="L59" s="277"/>
      <c r="M59" s="277"/>
      <c r="N59" s="277"/>
      <c r="O59" s="277"/>
      <c r="P59" s="277"/>
      <c r="Q59" s="277"/>
      <c r="R59" s="277"/>
      <c r="S59" s="277"/>
      <c r="T59" s="277"/>
      <c r="U59" s="277"/>
      <c r="V59" s="277"/>
      <c r="W59" s="277"/>
      <c r="X59" s="277"/>
      <c r="Y59" s="278"/>
      <c r="Z59" s="358"/>
    </row>
    <row r="60" spans="2:26" s="256" customFormat="1" ht="12.75" customHeight="1">
      <c r="B60" s="359" t="s">
        <v>238</v>
      </c>
      <c r="D60" s="280"/>
      <c r="E60" s="280"/>
      <c r="F60" s="280"/>
      <c r="G60" s="280"/>
      <c r="H60" s="280"/>
      <c r="I60" s="280"/>
      <c r="J60" s="280"/>
      <c r="K60" s="280"/>
      <c r="L60" s="280"/>
      <c r="M60" s="280"/>
      <c r="N60" s="280"/>
      <c r="O60" s="280"/>
      <c r="P60" s="280"/>
      <c r="Q60" s="280"/>
      <c r="R60" s="280"/>
      <c r="S60" s="280"/>
      <c r="T60" s="280"/>
      <c r="U60" s="256" t="s">
        <v>210</v>
      </c>
      <c r="Y60" s="360"/>
      <c r="Z60" s="358"/>
    </row>
    <row r="61" spans="2:26" s="256" customFormat="1" ht="12.75" customHeight="1" thickBot="1">
      <c r="B61" s="359" t="s">
        <v>208</v>
      </c>
      <c r="D61" s="280"/>
      <c r="E61" s="280"/>
      <c r="F61" s="280"/>
      <c r="G61" s="280"/>
      <c r="H61" s="280"/>
      <c r="I61" s="280"/>
      <c r="J61" s="280"/>
      <c r="K61" s="280"/>
      <c r="L61" s="280"/>
      <c r="M61" s="280"/>
      <c r="N61" s="280"/>
      <c r="O61" s="280"/>
      <c r="P61" s="280"/>
      <c r="Q61" s="280"/>
      <c r="R61" s="280"/>
      <c r="S61" s="280"/>
      <c r="T61" s="607" t="s">
        <v>167</v>
      </c>
      <c r="U61" s="608"/>
      <c r="V61" s="361" t="s">
        <v>168</v>
      </c>
      <c r="W61" s="361" t="s">
        <v>169</v>
      </c>
      <c r="X61" s="361" t="s">
        <v>168</v>
      </c>
      <c r="Y61" s="362" t="s">
        <v>169</v>
      </c>
      <c r="Z61" s="358"/>
    </row>
    <row r="62" spans="1:26" ht="12.75" customHeight="1">
      <c r="A62" s="256"/>
      <c r="B62" s="252" t="s">
        <v>82</v>
      </c>
      <c r="C62" s="229"/>
      <c r="D62" s="280"/>
      <c r="E62" s="280"/>
      <c r="F62" s="280"/>
      <c r="G62" s="280"/>
      <c r="H62" s="280"/>
      <c r="I62" s="280"/>
      <c r="J62" s="280"/>
      <c r="K62" s="280"/>
      <c r="L62" s="280"/>
      <c r="M62" s="280"/>
      <c r="N62" s="280"/>
      <c r="O62" s="280"/>
      <c r="P62" s="280"/>
      <c r="Q62" s="280"/>
      <c r="T62" s="609" t="s">
        <v>170</v>
      </c>
      <c r="U62" s="610"/>
      <c r="V62" s="363">
        <v>0.2</v>
      </c>
      <c r="W62" s="364">
        <v>1.3</v>
      </c>
      <c r="X62" s="363">
        <v>-0.2</v>
      </c>
      <c r="Y62" s="365">
        <f>1/W62</f>
        <v>0.7692307692307692</v>
      </c>
      <c r="Z62" s="257"/>
    </row>
    <row r="63" spans="1:26" ht="12.75" customHeight="1">
      <c r="A63" s="256"/>
      <c r="B63" s="252" t="s">
        <v>193</v>
      </c>
      <c r="C63" s="229"/>
      <c r="D63" s="280"/>
      <c r="E63" s="280"/>
      <c r="F63" s="280"/>
      <c r="G63" s="280"/>
      <c r="H63" s="280"/>
      <c r="I63" s="280"/>
      <c r="J63" s="280"/>
      <c r="K63" s="280"/>
      <c r="L63" s="280"/>
      <c r="M63" s="280"/>
      <c r="N63" s="280"/>
      <c r="O63" s="280"/>
      <c r="P63" s="280"/>
      <c r="Q63" s="280"/>
      <c r="T63" s="366"/>
      <c r="U63" s="367" t="s">
        <v>171</v>
      </c>
      <c r="V63" s="368">
        <v>0.6</v>
      </c>
      <c r="W63" s="369">
        <f>EXP(LN(W62)/V62*V63)</f>
        <v>2.197</v>
      </c>
      <c r="X63" s="368">
        <v>-0.6</v>
      </c>
      <c r="Y63" s="370">
        <f>EXP(LN(Y62)/X62*X63)</f>
        <v>0.45516613563950836</v>
      </c>
      <c r="Z63" s="257"/>
    </row>
    <row r="64" spans="1:26" ht="12.75" customHeight="1">
      <c r="A64" s="256"/>
      <c r="B64" s="252" t="s">
        <v>172</v>
      </c>
      <c r="C64" s="229"/>
      <c r="D64" s="280"/>
      <c r="E64" s="280"/>
      <c r="F64" s="280"/>
      <c r="G64" s="280"/>
      <c r="H64" s="280"/>
      <c r="I64" s="280"/>
      <c r="J64" s="280"/>
      <c r="K64" s="280"/>
      <c r="L64" s="280"/>
      <c r="M64" s="280"/>
      <c r="N64" s="280"/>
      <c r="O64" s="280"/>
      <c r="P64" s="280"/>
      <c r="Q64" s="280"/>
      <c r="T64" s="366"/>
      <c r="U64" s="367" t="s">
        <v>173</v>
      </c>
      <c r="V64" s="368">
        <v>1.2</v>
      </c>
      <c r="W64" s="369">
        <f>EXP(LN(W62)/V62*V64)</f>
        <v>4.826809</v>
      </c>
      <c r="X64" s="368">
        <v>-1.2</v>
      </c>
      <c r="Y64" s="370">
        <f>EXP(LN(Y62)/X62*X64)</f>
        <v>0.20717621103300332</v>
      </c>
      <c r="Z64" s="257"/>
    </row>
    <row r="65" spans="1:26" ht="12.75" customHeight="1">
      <c r="A65" s="256"/>
      <c r="B65" s="252" t="s">
        <v>203</v>
      </c>
      <c r="C65" s="229"/>
      <c r="D65" s="280"/>
      <c r="E65" s="280"/>
      <c r="F65" s="280"/>
      <c r="G65" s="280"/>
      <c r="H65" s="280"/>
      <c r="I65" s="280"/>
      <c r="J65" s="280"/>
      <c r="K65" s="280"/>
      <c r="L65" s="280"/>
      <c r="M65" s="280"/>
      <c r="N65" s="280"/>
      <c r="O65" s="280"/>
      <c r="P65" s="280"/>
      <c r="Q65" s="280"/>
      <c r="T65" s="366"/>
      <c r="U65" s="367" t="s">
        <v>174</v>
      </c>
      <c r="V65" s="368">
        <v>2</v>
      </c>
      <c r="W65" s="371">
        <f>EXP(LN(W62)/V62*V65)</f>
        <v>13.785849184900002</v>
      </c>
      <c r="X65" s="368">
        <v>-2</v>
      </c>
      <c r="Y65" s="370">
        <f>EXP(LN(Y62)/X62*X65)</f>
        <v>0.07253815028640569</v>
      </c>
      <c r="Z65" s="257"/>
    </row>
    <row r="66" spans="1:26" ht="12.75" customHeight="1">
      <c r="A66" s="256"/>
      <c r="B66" s="252"/>
      <c r="C66" s="229" t="s">
        <v>218</v>
      </c>
      <c r="D66" s="280"/>
      <c r="E66" s="280"/>
      <c r="F66" s="280"/>
      <c r="G66" s="280"/>
      <c r="H66" s="280"/>
      <c r="I66" s="280"/>
      <c r="J66" s="280"/>
      <c r="K66" s="280"/>
      <c r="L66" s="280"/>
      <c r="M66" s="280"/>
      <c r="N66" s="280"/>
      <c r="O66" s="280"/>
      <c r="P66" s="280"/>
      <c r="Q66" s="280"/>
      <c r="T66" s="366"/>
      <c r="U66" s="367" t="s">
        <v>175</v>
      </c>
      <c r="V66" s="368">
        <v>4</v>
      </c>
      <c r="W66" s="371">
        <f>EXP(LN(W62)/V62*V66)</f>
        <v>190.049637748808</v>
      </c>
      <c r="X66" s="368">
        <v>-4</v>
      </c>
      <c r="Y66" s="370">
        <f>EXP(LN(Y62)/X62*X66)</f>
        <v>0.005261783246973177</v>
      </c>
      <c r="Z66" s="257"/>
    </row>
    <row r="67" spans="1:26" ht="12.75" customHeight="1">
      <c r="A67" s="256"/>
      <c r="B67" s="252"/>
      <c r="C67" s="229" t="s">
        <v>204</v>
      </c>
      <c r="D67" s="280"/>
      <c r="E67" s="280"/>
      <c r="F67" s="280"/>
      <c r="G67" s="280"/>
      <c r="H67" s="280"/>
      <c r="I67" s="280"/>
      <c r="J67" s="280"/>
      <c r="K67" s="280"/>
      <c r="L67" s="280"/>
      <c r="M67" s="280"/>
      <c r="N67" s="280"/>
      <c r="O67" s="280"/>
      <c r="P67" s="280"/>
      <c r="Q67" s="280"/>
      <c r="T67" s="256"/>
      <c r="U67" s="229"/>
      <c r="V67" s="229"/>
      <c r="W67" s="229"/>
      <c r="X67" s="229"/>
      <c r="Y67" s="279"/>
      <c r="Z67" s="257"/>
    </row>
    <row r="68" spans="1:26" ht="12.75" customHeight="1">
      <c r="A68" s="256"/>
      <c r="B68" s="258"/>
      <c r="C68" s="229" t="s">
        <v>207</v>
      </c>
      <c r="D68" s="229"/>
      <c r="E68" s="229"/>
      <c r="F68" s="229"/>
      <c r="G68" s="229"/>
      <c r="H68" s="229"/>
      <c r="I68" s="229"/>
      <c r="J68" s="229"/>
      <c r="K68" s="229"/>
      <c r="L68" s="229"/>
      <c r="M68" s="229"/>
      <c r="N68" s="229"/>
      <c r="O68" s="229"/>
      <c r="P68" s="229"/>
      <c r="T68" s="256"/>
      <c r="U68" s="229"/>
      <c r="V68" s="229"/>
      <c r="W68" s="229"/>
      <c r="X68" s="229"/>
      <c r="Y68" s="279"/>
      <c r="Z68" s="257"/>
    </row>
    <row r="69" spans="1:26" ht="12.75" customHeight="1">
      <c r="A69" s="256"/>
      <c r="B69" s="258"/>
      <c r="C69" s="229" t="s">
        <v>279</v>
      </c>
      <c r="D69" s="229"/>
      <c r="E69" s="229"/>
      <c r="F69" s="229"/>
      <c r="G69" s="229"/>
      <c r="H69" s="229"/>
      <c r="I69" s="229"/>
      <c r="J69" s="229"/>
      <c r="K69" s="229"/>
      <c r="L69" s="229"/>
      <c r="M69" s="229"/>
      <c r="N69" s="229"/>
      <c r="O69" s="229"/>
      <c r="P69" s="229"/>
      <c r="U69" s="229"/>
      <c r="V69" s="229"/>
      <c r="W69" s="229"/>
      <c r="X69" s="229"/>
      <c r="Y69" s="279"/>
      <c r="Z69" s="257"/>
    </row>
    <row r="70" spans="2:26" ht="12.75" customHeight="1">
      <c r="B70" s="269" t="s">
        <v>176</v>
      </c>
      <c r="C70" s="229"/>
      <c r="D70" s="255"/>
      <c r="E70" s="255"/>
      <c r="F70" s="255"/>
      <c r="G70" s="255"/>
      <c r="H70" s="255"/>
      <c r="I70" s="255"/>
      <c r="J70" s="255"/>
      <c r="K70" s="255"/>
      <c r="L70" s="255"/>
      <c r="M70" s="255"/>
      <c r="N70" s="255"/>
      <c r="O70" s="255"/>
      <c r="P70" s="255"/>
      <c r="Q70" s="255"/>
      <c r="R70" s="256"/>
      <c r="S70" s="256"/>
      <c r="T70" s="255"/>
      <c r="U70" s="255"/>
      <c r="V70" s="255"/>
      <c r="W70" s="255"/>
      <c r="X70" s="255"/>
      <c r="Y70" s="279"/>
      <c r="Z70" s="257"/>
    </row>
    <row r="71" spans="2:26" ht="6.75" customHeight="1">
      <c r="B71" s="258"/>
      <c r="C71" s="372"/>
      <c r="D71" s="373"/>
      <c r="E71" s="373"/>
      <c r="F71" s="373"/>
      <c r="G71" s="373"/>
      <c r="H71" s="373"/>
      <c r="I71" s="373"/>
      <c r="J71" s="373"/>
      <c r="K71" s="373"/>
      <c r="L71" s="374"/>
      <c r="M71" s="373"/>
      <c r="N71" s="373"/>
      <c r="O71" s="373"/>
      <c r="P71" s="373"/>
      <c r="Q71" s="373"/>
      <c r="R71" s="373"/>
      <c r="S71" s="373"/>
      <c r="T71" s="373"/>
      <c r="U71" s="373"/>
      <c r="V71" s="373"/>
      <c r="W71" s="373"/>
      <c r="X71" s="373"/>
      <c r="Y71" s="375"/>
      <c r="Z71" s="357"/>
    </row>
    <row r="72" spans="1:26" ht="10.5" customHeight="1">
      <c r="A72" s="256"/>
      <c r="B72" s="281"/>
      <c r="C72" s="282"/>
      <c r="D72" s="282"/>
      <c r="E72" s="282"/>
      <c r="F72" s="282"/>
      <c r="G72" s="282"/>
      <c r="H72" s="282"/>
      <c r="I72" s="282"/>
      <c r="J72" s="282"/>
      <c r="K72" s="282"/>
      <c r="L72" s="282"/>
      <c r="M72" s="282"/>
      <c r="N72" s="282"/>
      <c r="O72" s="282"/>
      <c r="P72" s="282"/>
      <c r="Q72" s="282"/>
      <c r="R72" s="282"/>
      <c r="S72" s="282"/>
      <c r="T72" s="282"/>
      <c r="U72" s="282"/>
      <c r="V72" s="282"/>
      <c r="W72" s="282"/>
      <c r="X72" s="282"/>
      <c r="Y72" s="283"/>
      <c r="Z72" s="257"/>
    </row>
    <row r="73" spans="1:26" ht="12.75" customHeight="1">
      <c r="A73" s="256"/>
      <c r="B73" s="281"/>
      <c r="C73" s="284" t="s">
        <v>227</v>
      </c>
      <c r="D73" s="285"/>
      <c r="E73" s="285"/>
      <c r="F73" s="285"/>
      <c r="G73" s="285"/>
      <c r="H73" s="285"/>
      <c r="I73" s="285"/>
      <c r="J73" s="285"/>
      <c r="K73" s="285"/>
      <c r="L73" s="285"/>
      <c r="M73" s="285"/>
      <c r="N73" s="285"/>
      <c r="O73" s="285"/>
      <c r="P73" s="285"/>
      <c r="Q73" s="285"/>
      <c r="R73" s="285"/>
      <c r="S73" s="285"/>
      <c r="T73" s="285"/>
      <c r="U73" s="285"/>
      <c r="V73" s="285"/>
      <c r="W73" s="286"/>
      <c r="X73" s="282"/>
      <c r="Y73" s="283"/>
      <c r="Z73" s="257"/>
    </row>
    <row r="74" spans="1:26" ht="12.75" customHeight="1">
      <c r="A74" s="256"/>
      <c r="B74" s="287"/>
      <c r="C74" s="288"/>
      <c r="D74" s="289"/>
      <c r="E74" s="289"/>
      <c r="F74" s="289"/>
      <c r="G74" s="289"/>
      <c r="H74" s="289"/>
      <c r="I74" s="289"/>
      <c r="J74" s="290"/>
      <c r="K74" s="289"/>
      <c r="L74" s="290"/>
      <c r="M74" s="290" t="s">
        <v>228</v>
      </c>
      <c r="N74" s="291">
        <v>1.47</v>
      </c>
      <c r="O74" s="291">
        <v>4.43</v>
      </c>
      <c r="P74" s="292" t="s">
        <v>229</v>
      </c>
      <c r="Q74" s="292"/>
      <c r="R74" s="289"/>
      <c r="S74" s="289"/>
      <c r="T74" s="289"/>
      <c r="U74" s="289"/>
      <c r="V74" s="289"/>
      <c r="W74" s="293"/>
      <c r="X74" s="282"/>
      <c r="Y74" s="283"/>
      <c r="Z74" s="257"/>
    </row>
    <row r="75" spans="1:26" ht="12.75" customHeight="1">
      <c r="A75" s="256"/>
      <c r="B75" s="287"/>
      <c r="C75" s="294" t="s">
        <v>239</v>
      </c>
      <c r="D75" s="292"/>
      <c r="E75" s="289"/>
      <c r="F75" s="289"/>
      <c r="G75" s="289"/>
      <c r="H75" s="289"/>
      <c r="I75" s="289"/>
      <c r="J75" s="290"/>
      <c r="K75" s="289"/>
      <c r="L75" s="290"/>
      <c r="M75" s="290"/>
      <c r="N75" s="295"/>
      <c r="O75" s="289"/>
      <c r="P75" s="289"/>
      <c r="Q75" s="292"/>
      <c r="R75" s="289"/>
      <c r="S75" s="289"/>
      <c r="T75" s="289"/>
      <c r="U75" s="289"/>
      <c r="V75" s="289"/>
      <c r="W75" s="293"/>
      <c r="X75" s="282"/>
      <c r="Y75" s="283"/>
      <c r="Z75" s="257"/>
    </row>
    <row r="76" spans="1:26" ht="12.75" customHeight="1">
      <c r="A76" s="256"/>
      <c r="B76" s="287"/>
      <c r="C76" s="288"/>
      <c r="D76" s="289"/>
      <c r="E76" s="289"/>
      <c r="F76" s="289"/>
      <c r="G76" s="290" t="s">
        <v>231</v>
      </c>
      <c r="H76" s="296">
        <f>(N74-N86)^2+(O74-O86)^2</f>
        <v>9.06946517519289</v>
      </c>
      <c r="I76" s="289" t="s">
        <v>240</v>
      </c>
      <c r="J76" s="289"/>
      <c r="K76" s="289"/>
      <c r="L76" s="289"/>
      <c r="M76" s="289"/>
      <c r="N76" s="289"/>
      <c r="O76" s="289"/>
      <c r="P76" s="289"/>
      <c r="Q76" s="289"/>
      <c r="R76" s="289"/>
      <c r="S76" s="289"/>
      <c r="T76" s="289"/>
      <c r="U76" s="289"/>
      <c r="V76" s="289"/>
      <c r="W76" s="293"/>
      <c r="X76" s="282"/>
      <c r="Y76" s="283"/>
      <c r="Z76" s="257"/>
    </row>
    <row r="77" spans="1:26" ht="12.75" customHeight="1">
      <c r="A77" s="256"/>
      <c r="B77" s="287"/>
      <c r="C77" s="288" t="s">
        <v>233</v>
      </c>
      <c r="D77" s="289"/>
      <c r="E77" s="289"/>
      <c r="F77" s="289"/>
      <c r="G77" s="289"/>
      <c r="H77" s="289"/>
      <c r="I77" s="289"/>
      <c r="J77" s="289"/>
      <c r="K77" s="289"/>
      <c r="L77" s="289"/>
      <c r="M77" s="289"/>
      <c r="N77" s="290"/>
      <c r="O77" s="297"/>
      <c r="P77" s="289"/>
      <c r="Q77" s="289"/>
      <c r="R77" s="289"/>
      <c r="S77" s="289"/>
      <c r="T77" s="289"/>
      <c r="U77" s="289"/>
      <c r="V77" s="289"/>
      <c r="W77" s="293"/>
      <c r="X77" s="282"/>
      <c r="Y77" s="283"/>
      <c r="Z77" s="257"/>
    </row>
    <row r="78" spans="1:26" ht="12.75" customHeight="1">
      <c r="A78" s="256"/>
      <c r="B78" s="287"/>
      <c r="C78" s="298" t="s">
        <v>234</v>
      </c>
      <c r="D78" s="299"/>
      <c r="E78" s="299"/>
      <c r="F78" s="299"/>
      <c r="G78" s="299"/>
      <c r="H78" s="299"/>
      <c r="I78" s="299"/>
      <c r="J78" s="299"/>
      <c r="K78" s="299"/>
      <c r="L78" s="299"/>
      <c r="M78" s="299"/>
      <c r="N78" s="300"/>
      <c r="O78" s="301"/>
      <c r="P78" s="299"/>
      <c r="Q78" s="299"/>
      <c r="R78" s="299"/>
      <c r="S78" s="299"/>
      <c r="T78" s="299"/>
      <c r="U78" s="299"/>
      <c r="V78" s="299"/>
      <c r="W78" s="302"/>
      <c r="X78" s="282"/>
      <c r="Y78" s="283"/>
      <c r="Z78" s="257"/>
    </row>
    <row r="79" spans="2:25" ht="7.5" customHeight="1">
      <c r="B79" s="287"/>
      <c r="C79" s="303"/>
      <c r="D79" s="303"/>
      <c r="E79" s="304"/>
      <c r="F79" s="304"/>
      <c r="G79" s="304"/>
      <c r="H79" s="304"/>
      <c r="I79" s="304"/>
      <c r="J79" s="304"/>
      <c r="K79" s="304"/>
      <c r="L79" s="305"/>
      <c r="M79" s="304"/>
      <c r="N79" s="304"/>
      <c r="O79" s="304"/>
      <c r="P79" s="304"/>
      <c r="Q79" s="304"/>
      <c r="R79" s="304"/>
      <c r="S79" s="304"/>
      <c r="T79" s="304"/>
      <c r="U79" s="304"/>
      <c r="V79" s="304"/>
      <c r="W79" s="304"/>
      <c r="X79" s="304"/>
      <c r="Y79" s="306"/>
    </row>
    <row r="80" spans="2:26" s="256" customFormat="1" ht="12.75" customHeight="1">
      <c r="B80" s="376"/>
      <c r="C80" s="377" t="s">
        <v>211</v>
      </c>
      <c r="D80" s="378"/>
      <c r="E80" s="379"/>
      <c r="F80" s="379"/>
      <c r="G80" s="379"/>
      <c r="H80" s="379"/>
      <c r="I80" s="379"/>
      <c r="J80" s="379"/>
      <c r="K80" s="379"/>
      <c r="L80" s="379"/>
      <c r="M80" s="379"/>
      <c r="N80" s="379"/>
      <c r="O80" s="379"/>
      <c r="P80" s="379"/>
      <c r="Q80" s="379"/>
      <c r="R80" s="379"/>
      <c r="S80" s="379"/>
      <c r="T80" s="379"/>
      <c r="U80" s="379"/>
      <c r="V80" s="379"/>
      <c r="W80" s="379"/>
      <c r="X80" s="379"/>
      <c r="Y80" s="380"/>
      <c r="Z80" s="358"/>
    </row>
    <row r="81" spans="2:26" ht="12" customHeight="1">
      <c r="B81" s="381"/>
      <c r="C81" s="378"/>
      <c r="D81" s="382" t="s">
        <v>241</v>
      </c>
      <c r="E81" s="383"/>
      <c r="F81" s="383"/>
      <c r="G81" s="383"/>
      <c r="H81" s="383"/>
      <c r="I81" s="383"/>
      <c r="J81" s="383"/>
      <c r="K81" s="383"/>
      <c r="L81" s="384"/>
      <c r="M81" s="383"/>
      <c r="N81" s="383"/>
      <c r="O81" s="383"/>
      <c r="P81" s="383"/>
      <c r="Q81" s="383"/>
      <c r="R81" s="383"/>
      <c r="S81" s="383"/>
      <c r="T81" s="383"/>
      <c r="U81" s="383"/>
      <c r="V81" s="383"/>
      <c r="W81" s="383"/>
      <c r="X81" s="383"/>
      <c r="Y81" s="306"/>
      <c r="Z81" s="357"/>
    </row>
    <row r="82" spans="2:26" ht="4.5" customHeight="1">
      <c r="B82" s="308"/>
      <c r="C82" s="282"/>
      <c r="D82" s="282"/>
      <c r="E82" s="282"/>
      <c r="F82" s="282"/>
      <c r="G82" s="282"/>
      <c r="H82" s="282"/>
      <c r="I82" s="282"/>
      <c r="J82" s="282"/>
      <c r="K82" s="282"/>
      <c r="L82" s="282"/>
      <c r="M82" s="282"/>
      <c r="N82" s="282"/>
      <c r="O82" s="282"/>
      <c r="P82" s="282"/>
      <c r="Q82" s="282"/>
      <c r="R82" s="282"/>
      <c r="S82" s="282"/>
      <c r="T82" s="282"/>
      <c r="U82" s="282"/>
      <c r="V82" s="282"/>
      <c r="W82" s="282"/>
      <c r="X82" s="282"/>
      <c r="Y82" s="307"/>
      <c r="Z82" s="357"/>
    </row>
    <row r="83" spans="2:29" ht="12.75" customHeight="1">
      <c r="B83" s="308"/>
      <c r="C83" s="385"/>
      <c r="D83" s="560" t="s">
        <v>192</v>
      </c>
      <c r="E83" s="561"/>
      <c r="F83" s="561"/>
      <c r="G83" s="561"/>
      <c r="H83" s="561"/>
      <c r="I83" s="561"/>
      <c r="J83" s="562"/>
      <c r="K83" s="563" t="s">
        <v>122</v>
      </c>
      <c r="L83" s="564"/>
      <c r="M83" s="560" t="s">
        <v>191</v>
      </c>
      <c r="N83" s="561"/>
      <c r="O83" s="561"/>
      <c r="P83" s="561"/>
      <c r="Q83" s="561"/>
      <c r="R83" s="562"/>
      <c r="S83" s="611" t="s">
        <v>64</v>
      </c>
      <c r="T83" s="566"/>
      <c r="U83" s="566"/>
      <c r="V83" s="566"/>
      <c r="W83" s="566"/>
      <c r="X83" s="567"/>
      <c r="Y83" s="307"/>
      <c r="Z83" s="357"/>
      <c r="AA83" s="228"/>
      <c r="AB83" s="228"/>
      <c r="AC83" s="228"/>
    </row>
    <row r="84" spans="2:29" ht="12.75" customHeight="1">
      <c r="B84" s="308"/>
      <c r="C84" s="568" t="s">
        <v>19</v>
      </c>
      <c r="D84" s="570" t="s">
        <v>52</v>
      </c>
      <c r="E84" s="572" t="s">
        <v>21</v>
      </c>
      <c r="F84" s="574" t="s">
        <v>159</v>
      </c>
      <c r="G84" s="575"/>
      <c r="H84" s="576"/>
      <c r="I84" s="577" t="s">
        <v>160</v>
      </c>
      <c r="J84" s="577"/>
      <c r="K84" s="313" t="s">
        <v>72</v>
      </c>
      <c r="L84" s="386" t="s">
        <v>71</v>
      </c>
      <c r="M84" s="315" t="s">
        <v>161</v>
      </c>
      <c r="N84" s="387" t="str">
        <f>J86&amp;"% compatibility limits"</f>
        <v>90% compatibility limits</v>
      </c>
      <c r="O84" s="316"/>
      <c r="P84" s="317"/>
      <c r="Q84" s="563" t="s">
        <v>162</v>
      </c>
      <c r="R84" s="564"/>
      <c r="S84" s="578" t="str">
        <f>"...beneficial or
substantially "&amp;K85</f>
        <v>...beneficial or
substantially &gt;</v>
      </c>
      <c r="T84" s="579"/>
      <c r="U84" s="582" t="s">
        <v>70</v>
      </c>
      <c r="V84" s="583"/>
      <c r="W84" s="586" t="str">
        <f>"...harmful or 
substantially "&amp;L85</f>
        <v>...harmful or 
substantially &lt;</v>
      </c>
      <c r="X84" s="587"/>
      <c r="Y84" s="590" t="s">
        <v>125</v>
      </c>
      <c r="Z84" s="615" t="s">
        <v>41</v>
      </c>
      <c r="AA84" s="228"/>
      <c r="AB84" s="228"/>
      <c r="AC84" s="228"/>
    </row>
    <row r="85" spans="2:32" ht="13.5" customHeight="1">
      <c r="B85" s="308"/>
      <c r="C85" s="569"/>
      <c r="D85" s="571"/>
      <c r="E85" s="573"/>
      <c r="F85" s="309" t="s">
        <v>15</v>
      </c>
      <c r="G85" s="319" t="s">
        <v>16</v>
      </c>
      <c r="H85" s="320" t="s">
        <v>96</v>
      </c>
      <c r="I85" s="321" t="s">
        <v>236</v>
      </c>
      <c r="J85" s="320" t="s">
        <v>163</v>
      </c>
      <c r="K85" s="388" t="str">
        <f>IF(ISBLANK(K86),"???",IF(K86&lt;1,"&lt;","&gt;"))</f>
        <v>&gt;</v>
      </c>
      <c r="L85" s="389" t="str">
        <f>IF(TYPE(L86)=2,"???",IF(L86&lt;1,"&lt;","&gt;"))</f>
        <v>&lt;</v>
      </c>
      <c r="M85" s="324" t="s">
        <v>164</v>
      </c>
      <c r="N85" s="320" t="s">
        <v>0</v>
      </c>
      <c r="O85" s="320" t="s">
        <v>1</v>
      </c>
      <c r="P85" s="315" t="s">
        <v>14</v>
      </c>
      <c r="Q85" s="324" t="s">
        <v>66</v>
      </c>
      <c r="R85" s="326" t="s">
        <v>138</v>
      </c>
      <c r="S85" s="613"/>
      <c r="T85" s="614"/>
      <c r="U85" s="584"/>
      <c r="V85" s="585"/>
      <c r="W85" s="588"/>
      <c r="X85" s="589"/>
      <c r="Y85" s="591"/>
      <c r="Z85" s="616"/>
      <c r="AA85" s="327" t="s">
        <v>42</v>
      </c>
      <c r="AB85" s="327" t="s">
        <v>32</v>
      </c>
      <c r="AC85" s="327" t="s">
        <v>40</v>
      </c>
      <c r="AD85" s="329" t="s">
        <v>47</v>
      </c>
      <c r="AE85" s="330" t="s">
        <v>6</v>
      </c>
      <c r="AF85" s="330" t="s">
        <v>44</v>
      </c>
    </row>
    <row r="86" spans="2:32" s="331" customFormat="1" ht="18" customHeight="1">
      <c r="B86" s="390"/>
      <c r="C86" s="332" t="s">
        <v>165</v>
      </c>
      <c r="D86" s="333">
        <v>1</v>
      </c>
      <c r="E86" s="334">
        <v>999</v>
      </c>
      <c r="F86" s="391"/>
      <c r="G86" s="391"/>
      <c r="H86" s="392">
        <v>190</v>
      </c>
      <c r="I86" s="334">
        <v>90</v>
      </c>
      <c r="J86" s="594">
        <f>100-2*$G$19</f>
        <v>90</v>
      </c>
      <c r="K86" s="596">
        <v>1.3</v>
      </c>
      <c r="L86" s="598">
        <f>IF(ISBLANK(K86),"",1/K86)</f>
        <v>0.7692307692307692</v>
      </c>
      <c r="M86" s="602">
        <f>EXP(AF86)</f>
        <v>2.6057097029280656</v>
      </c>
      <c r="N86" s="602">
        <f>EXP(AF86-TINV((100-J86)/100,AE86)*AD86)</f>
        <v>0.918689381183747</v>
      </c>
      <c r="O86" s="602">
        <f>EXP(AF86+TINV((100-J86)/100,AE86)*AD86)</f>
        <v>7.3906623881782485</v>
      </c>
      <c r="P86" s="602">
        <f>SQRT(O86/N86)</f>
        <v>2.8363337557799615</v>
      </c>
      <c r="Q86" s="603" t="str">
        <f>IF(S86&lt;$I$19,IF(MAX(U86,W86)=U86,U87&amp;" trivial; don't use",W87&amp;" harmful; don't use"),IF(W86&lt;$E$19,S87&amp;" beneficial; consider using","unclear; don't use; get more data"))</f>
        <v>unclear; don't use; get more data</v>
      </c>
      <c r="R86" s="603" t="str">
        <f>IF(MIN(S86,W86)&gt;$G$19,"unclear; get more data",IF(MAX(S86,U86,W86)=S86,S87&amp;" "&amp;K85,IF(MAX(S86,U86,W86)=U86,U87&amp;" trivial",W87&amp;" "&amp;L85)))</f>
        <v>likely &gt;</v>
      </c>
      <c r="S86" s="336">
        <f>100*IF(LN(K86)&gt;0,IF(AF86-LN(K86)&gt;0,1-TDIST((AF86-LN(K86))/AD86,AE86,1),TDIST((LN(K86)-AF86)/AD86,AE86,1)),IF(AF86-LN(K86)&gt;0,TDIST((AF86-LN(K86))/AD86,AE86,1),1-TDIST((LN(K86)-AF86)/AD86,AE86,1)))</f>
        <v>86.84563487893885</v>
      </c>
      <c r="T86" s="337" t="s">
        <v>65</v>
      </c>
      <c r="U86" s="336">
        <f>100-S86-W86</f>
        <v>10.28917574370701</v>
      </c>
      <c r="V86" s="337" t="s">
        <v>65</v>
      </c>
      <c r="W86" s="336">
        <f>100*IF(LN(L86)&gt;0,IF(AF86-LN(L86)&gt;0,1-TDIST((AF86-LN(L86))/AD86,AE86,1),TDIST((LN(L86)-AF86)/AD86,AE86,1)),IF(AF86-LN(L86)&gt;0,TDIST((AF86-LN(L86))/AD86,AE86,1),1-TDIST((LN(L86)-AF86)/AD86,AE86,1)))</f>
        <v>2.8651893773541364</v>
      </c>
      <c r="X86" s="337" t="s">
        <v>65</v>
      </c>
      <c r="Y86" s="338">
        <f>S86/(100-S86)/(W86/(100-W86))</f>
        <v>223.8204000204547</v>
      </c>
      <c r="Z86" s="393">
        <f>1/AA86^2/(1/AA86^2+1/AA87^2)</f>
        <v>0.03578820308363201</v>
      </c>
      <c r="AA86" s="340">
        <f>IF(ISNUMBER(D86),LN(IF(ISNUMBER(H86),H86,SQRT(G86/F86)))/TINV(1-I86/100,E86),"")</f>
        <v>3.1870060200445787</v>
      </c>
      <c r="AB86" s="341">
        <f>IF(ISBLANK(D86),"",1/E86)</f>
        <v>0.001001001001001001</v>
      </c>
      <c r="AC86" s="340">
        <f>IF(ISBLANK(D86),"",LN(D86))</f>
        <v>0</v>
      </c>
      <c r="AD86" s="604">
        <f>SQRT(SUMPRODUCT(AA86:AA87,AA86:AA87,Z86:Z87,Z86:Z87))</f>
        <v>0.6029104763925898</v>
      </c>
      <c r="AE86" s="612">
        <f>SUMPRODUCT(AA86:AA87,AA86:AA87,Z86:Z87,Z86:Z87)^2/SUMPRODUCT(AA86:AA87,AA86:AA87,AA86:AA87,AA86:AA87,Z86:Z87,Z86:Z87,Z86:Z87,Z86:Z87,AB86:AB87)</f>
        <v>19.360512240991156</v>
      </c>
      <c r="AF86" s="604">
        <f>SUMPRODUCT(Z86:Z87,AC86:AC87)</f>
        <v>0.9577050768446138</v>
      </c>
    </row>
    <row r="87" spans="2:32" s="331" customFormat="1" ht="18" customHeight="1">
      <c r="B87" s="390"/>
      <c r="C87" s="332" t="s">
        <v>166</v>
      </c>
      <c r="D87" s="333">
        <v>2.7</v>
      </c>
      <c r="E87" s="334">
        <v>18</v>
      </c>
      <c r="F87" s="391"/>
      <c r="G87" s="391"/>
      <c r="H87" s="333">
        <v>2.9</v>
      </c>
      <c r="I87" s="342">
        <f>I86</f>
        <v>90</v>
      </c>
      <c r="J87" s="595"/>
      <c r="K87" s="597"/>
      <c r="L87" s="599"/>
      <c r="M87" s="601"/>
      <c r="N87" s="601"/>
      <c r="O87" s="601"/>
      <c r="P87" s="601"/>
      <c r="Q87" s="603"/>
      <c r="R87" s="603"/>
      <c r="S87" s="605" t="str">
        <f>IF(S86&lt;$E$19,$D$19,IF(S86&lt;$G$19,$F$19,IF(S86&lt;$I$19,$H$19,IF(S86&lt;$K$19,$J$19,IF(S86&lt;$M$19,$L$19,IF(S86&lt;$O$19,$N$19,$P$19))))))</f>
        <v>likely</v>
      </c>
      <c r="T87" s="606"/>
      <c r="U87" s="605" t="str">
        <f>IF(U86&lt;$E$19,$D$19,IF(U86&lt;$G$19,$F$19,IF(U86&lt;$I$19,$H$19,IF(U86&lt;$K$19,$J$19,IF(U86&lt;$M$19,$L$19,IF(U86&lt;$O$19,$N$19,$P$19))))))</f>
        <v>unlikely</v>
      </c>
      <c r="V87" s="606"/>
      <c r="W87" s="605" t="str">
        <f>IF(W86&lt;$E$19,$D$19,IF(W86&lt;$G$19,$F$19,IF(W86&lt;$I$19,$H$19,IF(W86&lt;$K$19,$J$19,IF(W86&lt;$M$19,$L$19,IF(W86&lt;$O$19,$N$19,$P$19))))))</f>
        <v>very unlikely</v>
      </c>
      <c r="X87" s="606"/>
      <c r="Y87" s="343"/>
      <c r="Z87" s="393">
        <f>1-Z86</f>
        <v>0.9642117969163679</v>
      </c>
      <c r="AA87" s="340">
        <f>IF(ISNUMBER(D87),LN(IF(ISNUMBER(H87),H87,SQRT(G87/F87)))/TINV(1-I87/100,E87),"")</f>
        <v>0.6139975102004768</v>
      </c>
      <c r="AB87" s="341">
        <f>IF(ISBLANK(D87),"",1/E87)</f>
        <v>0.05555555555555555</v>
      </c>
      <c r="AC87" s="340">
        <f>IF(ISBLANK(D87),"",LN(D87))</f>
        <v>0.9932517730102834</v>
      </c>
      <c r="AD87" s="604"/>
      <c r="AE87" s="612"/>
      <c r="AF87" s="604"/>
    </row>
    <row r="88" spans="2:29" ht="13.5" customHeight="1" thickBot="1">
      <c r="B88" s="344"/>
      <c r="C88" s="394"/>
      <c r="D88" s="346"/>
      <c r="E88" s="346"/>
      <c r="F88" s="346"/>
      <c r="G88" s="346"/>
      <c r="H88" s="346"/>
      <c r="I88" s="346"/>
      <c r="J88" s="346"/>
      <c r="K88" s="346"/>
      <c r="L88" s="346"/>
      <c r="M88" s="346"/>
      <c r="N88" s="346"/>
      <c r="O88" s="346"/>
      <c r="P88" s="346"/>
      <c r="Q88" s="347" t="str">
        <f>IF(AND(W86&gt;$E$19,Y86&gt;$I$19/$K$19/($E$19/$O$19)),"Less conservative clinical: '"&amp;S87&amp;" beneficial, consider using' because odds ratio is &gt;"&amp;ROUND($I$19/$K$19/($E$19/$O$19),1)&amp;".","")</f>
        <v>Less conservative clinical: 'likely beneficial, consider using' because odds ratio is &gt;66.3.</v>
      </c>
      <c r="R88" s="348"/>
      <c r="S88" s="348"/>
      <c r="T88" s="348"/>
      <c r="U88" s="348"/>
      <c r="V88" s="348"/>
      <c r="W88" s="348"/>
      <c r="X88" s="348"/>
      <c r="Y88" s="349"/>
      <c r="Z88" s="350" t="str">
        <f>IF(AND(COUNTIF(Z86:Z87,"=1")=SUM(Z86:Z87),SUM(Z86:Z87)&gt;1),"Decision is for the addition (simultaneous use) of effects marked with 1s",IF(SUMPRODUCT(Z86:Z87,Z86:Z87)&gt;2,"ERROR: bad weights",IF(OR(SUM(Z86:Z87)=1,SUM(Z86:Z87)=0),"Good weights","ERROR: weights do not add to 1 or 0")))</f>
        <v>Good weights</v>
      </c>
      <c r="AA88" s="351"/>
      <c r="AB88" s="351"/>
      <c r="AC88" s="351"/>
    </row>
    <row r="89" spans="6:29" ht="13.5" thickBot="1">
      <c r="F89" s="395"/>
      <c r="G89" s="396"/>
      <c r="Z89" s="357"/>
      <c r="AB89" s="228"/>
      <c r="AC89" s="228"/>
    </row>
    <row r="90" spans="1:29" s="256" customFormat="1" ht="15.75" customHeight="1">
      <c r="A90" s="397"/>
      <c r="B90" s="274" t="s">
        <v>242</v>
      </c>
      <c r="C90" s="276"/>
      <c r="D90" s="275"/>
      <c r="E90" s="276"/>
      <c r="F90" s="277"/>
      <c r="G90" s="277"/>
      <c r="H90" s="277"/>
      <c r="I90" s="277"/>
      <c r="J90" s="277"/>
      <c r="K90" s="277"/>
      <c r="L90" s="277"/>
      <c r="M90" s="277"/>
      <c r="N90" s="277"/>
      <c r="O90" s="277"/>
      <c r="P90" s="277"/>
      <c r="Q90" s="277"/>
      <c r="R90" s="277"/>
      <c r="S90" s="277"/>
      <c r="T90" s="277"/>
      <c r="U90" s="277"/>
      <c r="V90" s="277"/>
      <c r="W90" s="277"/>
      <c r="X90" s="277"/>
      <c r="Y90" s="278"/>
      <c r="Z90" s="358"/>
      <c r="AA90" s="229"/>
      <c r="AB90" s="280"/>
      <c r="AC90" s="280"/>
    </row>
    <row r="91" spans="1:26" ht="12.75" customHeight="1">
      <c r="A91" s="279"/>
      <c r="B91" s="252" t="s">
        <v>177</v>
      </c>
      <c r="C91" s="229"/>
      <c r="D91" s="280"/>
      <c r="E91" s="280"/>
      <c r="F91" s="280"/>
      <c r="G91" s="280"/>
      <c r="H91" s="280"/>
      <c r="I91" s="280"/>
      <c r="J91" s="280"/>
      <c r="K91" s="280"/>
      <c r="L91" s="280"/>
      <c r="M91" s="280"/>
      <c r="N91" s="280"/>
      <c r="O91" s="280"/>
      <c r="P91" s="280"/>
      <c r="Q91" s="280"/>
      <c r="R91" s="280"/>
      <c r="S91" s="280"/>
      <c r="T91" s="280"/>
      <c r="U91" s="280"/>
      <c r="V91" s="280"/>
      <c r="W91" s="280"/>
      <c r="X91" s="229"/>
      <c r="Y91" s="360"/>
      <c r="Z91" s="398"/>
    </row>
    <row r="92" spans="1:26" ht="12.75" customHeight="1">
      <c r="A92" s="279"/>
      <c r="B92" s="252"/>
      <c r="C92" s="229" t="s">
        <v>178</v>
      </c>
      <c r="D92" s="229"/>
      <c r="E92" s="229"/>
      <c r="F92" s="229"/>
      <c r="G92" s="229"/>
      <c r="H92" s="229"/>
      <c r="I92" s="229"/>
      <c r="J92" s="229"/>
      <c r="K92" s="229"/>
      <c r="L92" s="229"/>
      <c r="M92" s="229"/>
      <c r="N92" s="229"/>
      <c r="O92" s="229"/>
      <c r="P92" s="229"/>
      <c r="U92" s="229"/>
      <c r="V92" s="229"/>
      <c r="W92" s="229"/>
      <c r="X92" s="229"/>
      <c r="Y92" s="253"/>
      <c r="Z92" s="270"/>
    </row>
    <row r="93" spans="1:26" ht="12.75" customHeight="1">
      <c r="A93" s="256"/>
      <c r="B93" s="252"/>
      <c r="C93" s="229" t="s">
        <v>197</v>
      </c>
      <c r="D93" s="229"/>
      <c r="E93" s="229"/>
      <c r="F93" s="229"/>
      <c r="G93" s="229"/>
      <c r="H93" s="229"/>
      <c r="I93" s="229"/>
      <c r="J93" s="229"/>
      <c r="K93" s="229"/>
      <c r="L93" s="229"/>
      <c r="M93" s="229"/>
      <c r="N93" s="229"/>
      <c r="O93" s="229"/>
      <c r="P93" s="229"/>
      <c r="U93" s="229"/>
      <c r="V93" s="229"/>
      <c r="W93" s="229"/>
      <c r="X93" s="229"/>
      <c r="Y93" s="253"/>
      <c r="Z93" s="270"/>
    </row>
    <row r="94" spans="1:29" ht="12.75" customHeight="1">
      <c r="A94" s="257"/>
      <c r="B94" s="252" t="s">
        <v>179</v>
      </c>
      <c r="D94" s="229"/>
      <c r="E94" s="229"/>
      <c r="F94" s="255"/>
      <c r="G94" s="255"/>
      <c r="H94" s="255"/>
      <c r="I94" s="255"/>
      <c r="J94" s="255"/>
      <c r="K94" s="255"/>
      <c r="L94" s="255"/>
      <c r="M94" s="255"/>
      <c r="N94" s="255"/>
      <c r="O94" s="255"/>
      <c r="P94" s="255"/>
      <c r="Q94" s="255"/>
      <c r="R94" s="255"/>
      <c r="S94" s="255"/>
      <c r="T94" s="255"/>
      <c r="U94" s="255"/>
      <c r="V94" s="255"/>
      <c r="W94" s="255"/>
      <c r="X94" s="255"/>
      <c r="Y94" s="399"/>
      <c r="Z94" s="357"/>
      <c r="AA94" s="228"/>
      <c r="AB94" s="400"/>
      <c r="AC94" s="400"/>
    </row>
    <row r="95" spans="1:26" ht="12.75" customHeight="1">
      <c r="A95" s="279"/>
      <c r="B95" s="228" t="s">
        <v>200</v>
      </c>
      <c r="P95" s="229"/>
      <c r="R95" s="228"/>
      <c r="S95" s="228"/>
      <c r="T95" s="228"/>
      <c r="Y95" s="279"/>
      <c r="Z95" s="257"/>
    </row>
    <row r="96" spans="1:26" ht="12.75" customHeight="1">
      <c r="A96" s="279"/>
      <c r="B96" s="228"/>
      <c r="C96" s="228" t="s">
        <v>201</v>
      </c>
      <c r="P96" s="229"/>
      <c r="R96" s="228"/>
      <c r="S96" s="228"/>
      <c r="T96" s="228"/>
      <c r="Y96" s="279"/>
      <c r="Z96" s="257"/>
    </row>
    <row r="97" spans="1:26" ht="12.75" customHeight="1">
      <c r="A97" s="279"/>
      <c r="B97" s="228"/>
      <c r="C97" s="229" t="s">
        <v>205</v>
      </c>
      <c r="P97" s="229"/>
      <c r="R97" s="228"/>
      <c r="S97" s="228"/>
      <c r="T97" s="228"/>
      <c r="Y97" s="279"/>
      <c r="Z97" s="257"/>
    </row>
    <row r="98" spans="1:26" ht="12.75" customHeight="1">
      <c r="A98" s="279"/>
      <c r="C98" s="228" t="s">
        <v>278</v>
      </c>
      <c r="P98" s="229"/>
      <c r="R98" s="228"/>
      <c r="S98" s="228"/>
      <c r="T98" s="228"/>
      <c r="Y98" s="279"/>
      <c r="Z98" s="257"/>
    </row>
    <row r="99" spans="1:26" ht="12.75" customHeight="1">
      <c r="A99" s="279"/>
      <c r="B99" s="252" t="s">
        <v>209</v>
      </c>
      <c r="C99" s="229"/>
      <c r="D99" s="280"/>
      <c r="E99" s="280"/>
      <c r="F99" s="280"/>
      <c r="G99" s="280"/>
      <c r="H99" s="280"/>
      <c r="I99" s="280"/>
      <c r="J99" s="280"/>
      <c r="K99" s="280"/>
      <c r="L99" s="280"/>
      <c r="M99" s="280"/>
      <c r="N99" s="280"/>
      <c r="O99" s="280"/>
      <c r="P99" s="280"/>
      <c r="Q99" s="280"/>
      <c r="T99" s="280"/>
      <c r="U99" s="280"/>
      <c r="V99" s="280"/>
      <c r="W99" s="280"/>
      <c r="X99" s="280"/>
      <c r="Y99" s="279"/>
      <c r="Z99" s="257"/>
    </row>
    <row r="100" spans="1:29" ht="12.75" customHeight="1">
      <c r="A100" s="257"/>
      <c r="B100" s="252"/>
      <c r="C100" s="228" t="s">
        <v>180</v>
      </c>
      <c r="D100" s="229"/>
      <c r="E100" s="229"/>
      <c r="F100" s="255"/>
      <c r="G100" s="255"/>
      <c r="H100" s="255"/>
      <c r="I100" s="255"/>
      <c r="J100" s="255"/>
      <c r="K100" s="255"/>
      <c r="L100" s="255"/>
      <c r="M100" s="255"/>
      <c r="N100" s="255"/>
      <c r="O100" s="255"/>
      <c r="P100" s="255"/>
      <c r="Q100" s="255"/>
      <c r="R100" s="255"/>
      <c r="S100" s="255"/>
      <c r="T100" s="255"/>
      <c r="U100" s="255"/>
      <c r="V100" s="255"/>
      <c r="W100" s="255"/>
      <c r="X100" s="255"/>
      <c r="Y100" s="399"/>
      <c r="Z100" s="357"/>
      <c r="AA100" s="228"/>
      <c r="AB100" s="400"/>
      <c r="AC100" s="400"/>
    </row>
    <row r="101" spans="1:29" ht="12.75" customHeight="1">
      <c r="A101" s="257"/>
      <c r="B101" s="252"/>
      <c r="C101" s="228" t="s">
        <v>181</v>
      </c>
      <c r="D101" s="229"/>
      <c r="E101" s="229"/>
      <c r="F101" s="255"/>
      <c r="G101" s="255"/>
      <c r="H101" s="255"/>
      <c r="I101" s="255"/>
      <c r="J101" s="255"/>
      <c r="K101" s="255"/>
      <c r="L101" s="255"/>
      <c r="M101" s="255"/>
      <c r="N101" s="255"/>
      <c r="O101" s="255"/>
      <c r="P101" s="255"/>
      <c r="Q101" s="255"/>
      <c r="R101" s="255"/>
      <c r="S101" s="255"/>
      <c r="T101" s="255"/>
      <c r="U101" s="255"/>
      <c r="V101" s="255"/>
      <c r="W101" s="255"/>
      <c r="X101" s="255"/>
      <c r="Y101" s="399"/>
      <c r="Z101" s="357"/>
      <c r="AA101" s="228"/>
      <c r="AB101" s="400"/>
      <c r="AC101" s="400"/>
    </row>
    <row r="102" spans="1:29" ht="12.75" customHeight="1">
      <c r="A102" s="257"/>
      <c r="B102" s="252"/>
      <c r="D102" s="229"/>
      <c r="E102" s="229"/>
      <c r="F102" s="255"/>
      <c r="G102" s="255"/>
      <c r="H102" s="255"/>
      <c r="I102" s="255"/>
      <c r="J102" s="255"/>
      <c r="K102" s="255"/>
      <c r="L102" s="255"/>
      <c r="M102" s="255"/>
      <c r="N102" s="255"/>
      <c r="O102" s="255"/>
      <c r="P102" s="255"/>
      <c r="Q102" s="255"/>
      <c r="R102" s="255"/>
      <c r="S102" s="255"/>
      <c r="T102" s="255"/>
      <c r="U102" s="255"/>
      <c r="V102" s="255"/>
      <c r="W102" s="255"/>
      <c r="X102" s="255"/>
      <c r="Y102" s="399"/>
      <c r="Z102" s="357"/>
      <c r="AA102" s="228"/>
      <c r="AB102" s="400"/>
      <c r="AC102" s="400"/>
    </row>
    <row r="103" spans="1:26" ht="10.5" customHeight="1">
      <c r="A103" s="256"/>
      <c r="B103" s="281"/>
      <c r="C103" s="282"/>
      <c r="D103" s="282"/>
      <c r="E103" s="282"/>
      <c r="F103" s="282"/>
      <c r="G103" s="282"/>
      <c r="H103" s="282"/>
      <c r="I103" s="282"/>
      <c r="J103" s="282"/>
      <c r="K103" s="282"/>
      <c r="L103" s="282"/>
      <c r="M103" s="282"/>
      <c r="N103" s="282"/>
      <c r="O103" s="282"/>
      <c r="P103" s="282"/>
      <c r="Q103" s="282"/>
      <c r="R103" s="282"/>
      <c r="S103" s="282"/>
      <c r="T103" s="282"/>
      <c r="U103" s="282"/>
      <c r="V103" s="282"/>
      <c r="W103" s="282"/>
      <c r="X103" s="282"/>
      <c r="Y103" s="283"/>
      <c r="Z103" s="257"/>
    </row>
    <row r="104" spans="1:26" ht="12.75" customHeight="1">
      <c r="A104" s="256"/>
      <c r="B104" s="281"/>
      <c r="C104" s="284" t="s">
        <v>227</v>
      </c>
      <c r="D104" s="285"/>
      <c r="E104" s="285"/>
      <c r="F104" s="285"/>
      <c r="G104" s="285"/>
      <c r="H104" s="285"/>
      <c r="I104" s="285"/>
      <c r="J104" s="285"/>
      <c r="K104" s="285"/>
      <c r="L104" s="285"/>
      <c r="M104" s="285"/>
      <c r="N104" s="285"/>
      <c r="O104" s="285"/>
      <c r="P104" s="285"/>
      <c r="Q104" s="285"/>
      <c r="R104" s="285"/>
      <c r="S104" s="285"/>
      <c r="T104" s="285"/>
      <c r="U104" s="285"/>
      <c r="V104" s="285"/>
      <c r="W104" s="286"/>
      <c r="X104" s="282"/>
      <c r="Y104" s="283"/>
      <c r="Z104" s="257"/>
    </row>
    <row r="105" spans="1:26" ht="12.75" customHeight="1">
      <c r="A105" s="256"/>
      <c r="B105" s="287"/>
      <c r="C105" s="288"/>
      <c r="D105" s="289"/>
      <c r="E105" s="289"/>
      <c r="F105" s="289"/>
      <c r="G105" s="289"/>
      <c r="H105" s="289"/>
      <c r="I105" s="289"/>
      <c r="J105" s="290"/>
      <c r="K105" s="289"/>
      <c r="L105" s="290"/>
      <c r="M105" s="290" t="s">
        <v>228</v>
      </c>
      <c r="N105" s="291">
        <v>0.6</v>
      </c>
      <c r="O105" s="291">
        <v>1.3</v>
      </c>
      <c r="P105" s="292" t="s">
        <v>229</v>
      </c>
      <c r="Q105" s="292"/>
      <c r="R105" s="289"/>
      <c r="S105" s="289"/>
      <c r="T105" s="289"/>
      <c r="U105" s="289"/>
      <c r="V105" s="289"/>
      <c r="W105" s="293"/>
      <c r="X105" s="282"/>
      <c r="Y105" s="283"/>
      <c r="Z105" s="257"/>
    </row>
    <row r="106" spans="1:26" ht="12.75" customHeight="1">
      <c r="A106" s="256"/>
      <c r="B106" s="287"/>
      <c r="C106" s="294" t="s">
        <v>239</v>
      </c>
      <c r="D106" s="292"/>
      <c r="E106" s="289"/>
      <c r="F106" s="289"/>
      <c r="G106" s="289"/>
      <c r="H106" s="289"/>
      <c r="I106" s="289"/>
      <c r="J106" s="290"/>
      <c r="K106" s="289"/>
      <c r="L106" s="290"/>
      <c r="M106" s="290"/>
      <c r="N106" s="295"/>
      <c r="O106" s="289"/>
      <c r="P106" s="289"/>
      <c r="Q106" s="292"/>
      <c r="R106" s="289"/>
      <c r="S106" s="289"/>
      <c r="T106" s="289"/>
      <c r="U106" s="289"/>
      <c r="V106" s="289"/>
      <c r="W106" s="293"/>
      <c r="X106" s="282"/>
      <c r="Y106" s="283"/>
      <c r="Z106" s="257"/>
    </row>
    <row r="107" spans="1:26" ht="12.75" customHeight="1">
      <c r="A107" s="256"/>
      <c r="B107" s="287"/>
      <c r="C107" s="288"/>
      <c r="D107" s="289"/>
      <c r="E107" s="289"/>
      <c r="F107" s="289"/>
      <c r="G107" s="290" t="s">
        <v>231</v>
      </c>
      <c r="H107" s="296">
        <f>(N105-N117)^2+(O105-O117)^2</f>
        <v>0.12119066167237086</v>
      </c>
      <c r="I107" s="289" t="s">
        <v>240</v>
      </c>
      <c r="J107" s="289"/>
      <c r="K107" s="289"/>
      <c r="L107" s="289"/>
      <c r="M107" s="289"/>
      <c r="N107" s="289"/>
      <c r="O107" s="289"/>
      <c r="P107" s="289"/>
      <c r="Q107" s="289"/>
      <c r="R107" s="289"/>
      <c r="S107" s="289"/>
      <c r="T107" s="289"/>
      <c r="U107" s="289"/>
      <c r="V107" s="289"/>
      <c r="W107" s="293"/>
      <c r="X107" s="282"/>
      <c r="Y107" s="283"/>
      <c r="Z107" s="257"/>
    </row>
    <row r="108" spans="1:26" ht="12.75" customHeight="1">
      <c r="A108" s="256"/>
      <c r="B108" s="287"/>
      <c r="C108" s="288" t="s">
        <v>233</v>
      </c>
      <c r="D108" s="289"/>
      <c r="E108" s="289"/>
      <c r="F108" s="289"/>
      <c r="G108" s="289"/>
      <c r="H108" s="289"/>
      <c r="I108" s="289"/>
      <c r="J108" s="289"/>
      <c r="K108" s="289"/>
      <c r="L108" s="289"/>
      <c r="M108" s="289"/>
      <c r="N108" s="290"/>
      <c r="O108" s="297"/>
      <c r="P108" s="289"/>
      <c r="Q108" s="289"/>
      <c r="R108" s="289"/>
      <c r="S108" s="289"/>
      <c r="T108" s="289"/>
      <c r="U108" s="289"/>
      <c r="V108" s="289"/>
      <c r="W108" s="293"/>
      <c r="X108" s="282"/>
      <c r="Y108" s="283"/>
      <c r="Z108" s="257"/>
    </row>
    <row r="109" spans="1:26" ht="12.75" customHeight="1">
      <c r="A109" s="256"/>
      <c r="B109" s="287"/>
      <c r="C109" s="298" t="s">
        <v>234</v>
      </c>
      <c r="D109" s="299"/>
      <c r="E109" s="299"/>
      <c r="F109" s="299"/>
      <c r="G109" s="299"/>
      <c r="H109" s="299"/>
      <c r="I109" s="299"/>
      <c r="J109" s="299"/>
      <c r="K109" s="299"/>
      <c r="L109" s="299"/>
      <c r="M109" s="299"/>
      <c r="N109" s="300"/>
      <c r="O109" s="301"/>
      <c r="P109" s="299"/>
      <c r="Q109" s="299"/>
      <c r="R109" s="299"/>
      <c r="S109" s="299"/>
      <c r="T109" s="299"/>
      <c r="U109" s="299"/>
      <c r="V109" s="299"/>
      <c r="W109" s="302"/>
      <c r="X109" s="282"/>
      <c r="Y109" s="283"/>
      <c r="Z109" s="257"/>
    </row>
    <row r="110" spans="2:25" ht="7.5" customHeight="1">
      <c r="B110" s="287"/>
      <c r="C110" s="303"/>
      <c r="D110" s="303"/>
      <c r="E110" s="304"/>
      <c r="F110" s="304"/>
      <c r="G110" s="304"/>
      <c r="H110" s="304"/>
      <c r="I110" s="304"/>
      <c r="J110" s="304"/>
      <c r="K110" s="304"/>
      <c r="L110" s="305"/>
      <c r="M110" s="304"/>
      <c r="N110" s="304"/>
      <c r="O110" s="304"/>
      <c r="P110" s="304"/>
      <c r="Q110" s="304"/>
      <c r="R110" s="304"/>
      <c r="S110" s="304"/>
      <c r="T110" s="304"/>
      <c r="U110" s="304"/>
      <c r="V110" s="304"/>
      <c r="W110" s="304"/>
      <c r="X110" s="304"/>
      <c r="Y110" s="283"/>
    </row>
    <row r="111" spans="2:25" ht="12.75" customHeight="1">
      <c r="B111" s="287"/>
      <c r="C111" s="382" t="s">
        <v>212</v>
      </c>
      <c r="D111" s="382"/>
      <c r="E111" s="382"/>
      <c r="F111" s="382"/>
      <c r="G111" s="382"/>
      <c r="H111" s="382"/>
      <c r="I111" s="382"/>
      <c r="J111" s="382"/>
      <c r="K111" s="382"/>
      <c r="L111" s="382"/>
      <c r="M111" s="382"/>
      <c r="N111" s="382"/>
      <c r="O111" s="382"/>
      <c r="P111" s="382"/>
      <c r="Q111" s="382"/>
      <c r="R111" s="382"/>
      <c r="S111" s="382"/>
      <c r="T111" s="382"/>
      <c r="U111" s="382"/>
      <c r="V111" s="382"/>
      <c r="W111" s="382"/>
      <c r="X111" s="382"/>
      <c r="Y111" s="283"/>
    </row>
    <row r="112" spans="2:25" ht="12.75" customHeight="1">
      <c r="B112" s="287"/>
      <c r="C112" s="382"/>
      <c r="D112" s="382" t="s">
        <v>213</v>
      </c>
      <c r="E112" s="382"/>
      <c r="F112" s="382"/>
      <c r="G112" s="382"/>
      <c r="H112" s="382"/>
      <c r="I112" s="382"/>
      <c r="J112" s="382"/>
      <c r="K112" s="382"/>
      <c r="L112" s="382"/>
      <c r="M112" s="382"/>
      <c r="N112" s="382"/>
      <c r="O112" s="382"/>
      <c r="P112" s="382"/>
      <c r="Q112" s="382"/>
      <c r="R112" s="382"/>
      <c r="S112" s="382"/>
      <c r="T112" s="382"/>
      <c r="U112" s="382"/>
      <c r="V112" s="382"/>
      <c r="W112" s="382"/>
      <c r="X112" s="382"/>
      <c r="Y112" s="283"/>
    </row>
    <row r="113" spans="1:29" ht="9" customHeight="1">
      <c r="A113" s="257"/>
      <c r="B113" s="287"/>
      <c r="C113" s="282"/>
      <c r="D113" s="401"/>
      <c r="E113" s="401"/>
      <c r="F113" s="282"/>
      <c r="G113" s="282"/>
      <c r="H113" s="282"/>
      <c r="I113" s="282"/>
      <c r="J113" s="282"/>
      <c r="K113" s="282"/>
      <c r="L113" s="282"/>
      <c r="M113" s="282"/>
      <c r="N113" s="282"/>
      <c r="O113" s="282"/>
      <c r="P113" s="282"/>
      <c r="Q113" s="282"/>
      <c r="R113" s="282"/>
      <c r="S113" s="282"/>
      <c r="T113" s="282"/>
      <c r="U113" s="282"/>
      <c r="V113" s="282"/>
      <c r="W113" s="282"/>
      <c r="X113" s="282"/>
      <c r="Y113" s="307"/>
      <c r="Z113" s="357"/>
      <c r="AA113" s="228"/>
      <c r="AB113" s="228"/>
      <c r="AC113" s="228"/>
    </row>
    <row r="114" spans="1:31" ht="12.75" customHeight="1">
      <c r="A114" s="257"/>
      <c r="B114" s="287"/>
      <c r="C114" s="282"/>
      <c r="D114" s="401"/>
      <c r="E114" s="560" t="s">
        <v>198</v>
      </c>
      <c r="F114" s="561"/>
      <c r="G114" s="561"/>
      <c r="H114" s="561"/>
      <c r="I114" s="561"/>
      <c r="J114" s="562"/>
      <c r="K114" s="563" t="s">
        <v>122</v>
      </c>
      <c r="L114" s="564"/>
      <c r="M114" s="560" t="s">
        <v>191</v>
      </c>
      <c r="N114" s="561"/>
      <c r="O114" s="561"/>
      <c r="P114" s="561"/>
      <c r="Q114" s="561"/>
      <c r="R114" s="562"/>
      <c r="S114" s="611" t="s">
        <v>64</v>
      </c>
      <c r="T114" s="566"/>
      <c r="U114" s="566"/>
      <c r="V114" s="566"/>
      <c r="W114" s="566"/>
      <c r="X114" s="567"/>
      <c r="Y114" s="307"/>
      <c r="Z114" s="357"/>
      <c r="AA114" s="228"/>
      <c r="AB114" s="228"/>
      <c r="AC114" s="228"/>
      <c r="AD114" s="228"/>
      <c r="AE114" s="228"/>
    </row>
    <row r="115" spans="1:31" ht="12.75" customHeight="1">
      <c r="A115" s="257"/>
      <c r="B115" s="287"/>
      <c r="C115" s="282"/>
      <c r="D115" s="568" t="s">
        <v>19</v>
      </c>
      <c r="E115" s="570" t="s">
        <v>182</v>
      </c>
      <c r="F115" s="574" t="s">
        <v>159</v>
      </c>
      <c r="G115" s="575"/>
      <c r="H115" s="576"/>
      <c r="I115" s="577" t="s">
        <v>160</v>
      </c>
      <c r="J115" s="577"/>
      <c r="K115" s="313" t="s">
        <v>72</v>
      </c>
      <c r="L115" s="386" t="s">
        <v>71</v>
      </c>
      <c r="M115" s="315" t="s">
        <v>161</v>
      </c>
      <c r="N115" s="574" t="str">
        <f>J117&amp;"% compatibility limits"</f>
        <v>90% compatibility limits</v>
      </c>
      <c r="O115" s="575"/>
      <c r="P115" s="576"/>
      <c r="Q115" s="563" t="s">
        <v>162</v>
      </c>
      <c r="R115" s="564"/>
      <c r="S115" s="578" t="str">
        <f>"...beneficial or
substantially "&amp;K116</f>
        <v>...beneficial or
substantially &lt;</v>
      </c>
      <c r="T115" s="579"/>
      <c r="U115" s="582" t="s">
        <v>70</v>
      </c>
      <c r="V115" s="583"/>
      <c r="W115" s="586" t="str">
        <f>"...harmful or 
substantially "&amp;L116</f>
        <v>...harmful or 
substantially &gt;</v>
      </c>
      <c r="X115" s="587"/>
      <c r="Y115" s="590" t="s">
        <v>125</v>
      </c>
      <c r="Z115" s="615" t="s">
        <v>41</v>
      </c>
      <c r="AA115" s="228"/>
      <c r="AB115" s="229"/>
      <c r="AC115" s="229"/>
      <c r="AD115" s="228"/>
      <c r="AE115" s="228"/>
    </row>
    <row r="116" spans="1:30" ht="13.5" customHeight="1">
      <c r="A116" s="257"/>
      <c r="B116" s="287"/>
      <c r="C116" s="282"/>
      <c r="D116" s="569"/>
      <c r="E116" s="571"/>
      <c r="F116" s="309" t="s">
        <v>15</v>
      </c>
      <c r="G116" s="319" t="s">
        <v>16</v>
      </c>
      <c r="H116" s="320" t="s">
        <v>96</v>
      </c>
      <c r="I116" s="321" t="s">
        <v>236</v>
      </c>
      <c r="J116" s="320" t="s">
        <v>163</v>
      </c>
      <c r="K116" s="388" t="str">
        <f>IF(ISBLANK(K117),"???",IF(K117&lt;1,"&lt;","&gt;"))</f>
        <v>&lt;</v>
      </c>
      <c r="L116" s="389" t="str">
        <f>IF(TYPE(L117)=2,"???",IF(L117&lt;1,"&lt;","&gt;"))</f>
        <v>&gt;</v>
      </c>
      <c r="M116" s="324" t="s">
        <v>164</v>
      </c>
      <c r="N116" s="320" t="s">
        <v>0</v>
      </c>
      <c r="O116" s="320" t="s">
        <v>1</v>
      </c>
      <c r="P116" s="315" t="s">
        <v>14</v>
      </c>
      <c r="Q116" s="324" t="s">
        <v>66</v>
      </c>
      <c r="R116" s="326" t="s">
        <v>138</v>
      </c>
      <c r="S116" s="613"/>
      <c r="T116" s="614"/>
      <c r="U116" s="584"/>
      <c r="V116" s="585"/>
      <c r="W116" s="588"/>
      <c r="X116" s="589"/>
      <c r="Y116" s="591"/>
      <c r="Z116" s="616"/>
      <c r="AA116" s="327" t="s">
        <v>42</v>
      </c>
      <c r="AB116" s="327" t="s">
        <v>40</v>
      </c>
      <c r="AC116" s="329" t="s">
        <v>43</v>
      </c>
      <c r="AD116" s="330" t="s">
        <v>44</v>
      </c>
    </row>
    <row r="117" spans="1:30" s="331" customFormat="1" ht="18" customHeight="1">
      <c r="A117" s="402"/>
      <c r="B117" s="403"/>
      <c r="C117" s="404"/>
      <c r="D117" s="332" t="s">
        <v>165</v>
      </c>
      <c r="E117" s="333">
        <v>1</v>
      </c>
      <c r="F117" s="405"/>
      <c r="G117" s="405"/>
      <c r="H117" s="405">
        <v>10</v>
      </c>
      <c r="I117" s="406">
        <v>90</v>
      </c>
      <c r="J117" s="594">
        <f>100-2*$G$19</f>
        <v>90</v>
      </c>
      <c r="K117" s="617">
        <v>0.9</v>
      </c>
      <c r="L117" s="598">
        <f>IF(ISBLANK(K117),"",1/K117)</f>
        <v>1.1111111111111112</v>
      </c>
      <c r="M117" s="602">
        <f>EXP(AD117)</f>
        <v>0.5928450129292989</v>
      </c>
      <c r="N117" s="602">
        <f>EXP(AD117+NORMSINV((100-J117)/200)*AC117)</f>
        <v>0.32250752121448806</v>
      </c>
      <c r="O117" s="602">
        <f>EXP(AD117-NORMSINV((100-J117)/200)*AC117)</f>
        <v>1.0897891870292038</v>
      </c>
      <c r="P117" s="602">
        <f>SQRT(O117/N117)</f>
        <v>1.8382362392566318</v>
      </c>
      <c r="Q117" s="603" t="str">
        <f>IF(S117&lt;$I$19,IF(MAX(U117,W117)=U117,U118&amp;" trivial; don't use",W118&amp;" harmful; don't use"),IF(W117&lt;$E$19,S118&amp;" beneficial; consider using","unclear; don't use; get more data"))</f>
        <v>unclear; don't use; get more data</v>
      </c>
      <c r="R117" s="603" t="str">
        <f>IF(MIN(S117,W117)&gt;$G$19,"unclear; get more data",IF(MAX(S117,U117,W117)=S117,S118&amp;" "&amp;K116,IF(MAX(S117,U117,W117)=U117,U118&amp;" trivial",W118&amp;" "&amp;L116)))</f>
        <v>likely &lt;</v>
      </c>
      <c r="S117" s="336">
        <f>IF(K117&gt;1,NORMSDIST((AD117-LN(K117))/AC117),1-NORMSDIST((AD117-LN(K117))/AC117))*100</f>
        <v>87.03156573347077</v>
      </c>
      <c r="T117" s="337" t="s">
        <v>65</v>
      </c>
      <c r="U117" s="336">
        <f>100-S117-W117</f>
        <v>8.485526766994502</v>
      </c>
      <c r="V117" s="337" t="s">
        <v>65</v>
      </c>
      <c r="W117" s="336">
        <f>IF(L117&gt;1,NORMSDIST((AD117-LN(L117))/AC117),1-NORMSDIST((AD117-LN(L117))/AC117))*100</f>
        <v>4.482907499534727</v>
      </c>
      <c r="X117" s="337" t="s">
        <v>65</v>
      </c>
      <c r="Y117" s="338">
        <f>S117/(100-S117)/(W117/(100-W117))</f>
        <v>142.99161399277537</v>
      </c>
      <c r="Z117" s="393">
        <f>1/AA117^2/(1/AA117^2+1/AA118^2)</f>
        <v>0.06990805991969003</v>
      </c>
      <c r="AA117" s="340">
        <f>IF(ISNUMBER(E117),-LN(IF(ISNUMBER(H117),H117,SQRT(G117/F117)))/NORMSINV((100-I117)/200),"")</f>
        <v>1.399872338343926</v>
      </c>
      <c r="AB117" s="340">
        <f>IF(ISBLANK(E117),"",LN(E117))</f>
        <v>0</v>
      </c>
      <c r="AC117" s="618">
        <f>SQRT(SUMPRODUCT(AA117:AA118,AA117:AA118,Z117:Z118,Z117:Z118))</f>
        <v>0.37012809912454986</v>
      </c>
      <c r="AD117" s="618">
        <f>SUMPRODUCT(AB117:AB118,Z117:Z118)</f>
        <v>-0.5228222751412722</v>
      </c>
    </row>
    <row r="118" spans="1:30" s="331" customFormat="1" ht="18" customHeight="1">
      <c r="A118" s="402"/>
      <c r="B118" s="403"/>
      <c r="C118" s="404"/>
      <c r="D118" s="332" t="s">
        <v>166</v>
      </c>
      <c r="E118" s="333">
        <v>0.57</v>
      </c>
      <c r="F118" s="405"/>
      <c r="G118" s="405"/>
      <c r="H118" s="407">
        <v>1.88</v>
      </c>
      <c r="I118" s="408">
        <f>I117</f>
        <v>90</v>
      </c>
      <c r="J118" s="595"/>
      <c r="K118" s="617"/>
      <c r="L118" s="599"/>
      <c r="M118" s="601"/>
      <c r="N118" s="601"/>
      <c r="O118" s="601"/>
      <c r="P118" s="601"/>
      <c r="Q118" s="603"/>
      <c r="R118" s="603"/>
      <c r="S118" s="605" t="str">
        <f>IF(S117&lt;$E$19,$D$19,IF(S117&lt;$G$19,$F$19,IF(S117&lt;$I$19,$H$19,IF(S117&lt;$K$19,$J$19,IF(S117&lt;$M$19,$L$19,IF(S117&lt;$O$19,$N$19,$P$19))))))</f>
        <v>likely</v>
      </c>
      <c r="T118" s="606"/>
      <c r="U118" s="605" t="str">
        <f>IF(U117&lt;$E$19,$D$19,IF(U117&lt;$G$19,$F$19,IF(U117&lt;$I$19,$H$19,IF(U117&lt;$K$19,$J$19,IF(U117&lt;$M$19,$L$19,IF(U117&lt;$O$19,$N$19,$P$19))))))</f>
        <v>unlikely</v>
      </c>
      <c r="V118" s="606"/>
      <c r="W118" s="605" t="str">
        <f>IF(W117&lt;$E$19,$D$19,IF(W117&lt;$G$19,$F$19,IF(W117&lt;$I$19,$H$19,IF(W117&lt;$K$19,$J$19,IF(W117&lt;$M$19,$L$19,IF(W117&lt;$O$19,$N$19,$P$19))))))</f>
        <v>very unlikely</v>
      </c>
      <c r="X118" s="606"/>
      <c r="Y118" s="343"/>
      <c r="Z118" s="393">
        <f>1-Z117</f>
        <v>0.9300919400803099</v>
      </c>
      <c r="AA118" s="340">
        <f>IF(ISNUMBER(E118),-LN(IF(ISNUMBER(H118),H118,SQRT(G118/F118)))/NORMSINV((100-I118)/200),"")</f>
        <v>0.38378598952408904</v>
      </c>
      <c r="AB118" s="340">
        <f>IF(ISBLANK(E118),"",LN(E118))</f>
        <v>-0.5621189181535413</v>
      </c>
      <c r="AC118" s="618"/>
      <c r="AD118" s="618"/>
    </row>
    <row r="119" spans="1:26" ht="12" customHeight="1" thickBot="1">
      <c r="A119" s="257"/>
      <c r="B119" s="409"/>
      <c r="C119" s="345"/>
      <c r="D119" s="394"/>
      <c r="E119" s="345"/>
      <c r="F119" s="345"/>
      <c r="G119" s="345"/>
      <c r="H119" s="345"/>
      <c r="I119" s="345"/>
      <c r="J119" s="345"/>
      <c r="K119" s="345"/>
      <c r="L119" s="345"/>
      <c r="M119" s="345"/>
      <c r="N119" s="345"/>
      <c r="O119" s="345"/>
      <c r="P119" s="345"/>
      <c r="Q119" s="347" t="str">
        <f>IF(AND(W117&gt;$E$19,Y117&gt;$I$19/$K$19/($E$19/$O$19)),"Less conservative clinical: '"&amp;S118&amp;" beneficial, consider using' because odds ratio is &gt;"&amp;ROUND($I$19/$K$19/($E$19/$O$19),1)&amp;".","")</f>
        <v>Less conservative clinical: 'likely beneficial, consider using' because odds ratio is &gt;66.3.</v>
      </c>
      <c r="R119" s="348"/>
      <c r="S119" s="348"/>
      <c r="T119" s="348"/>
      <c r="U119" s="348"/>
      <c r="V119" s="348"/>
      <c r="W119" s="348"/>
      <c r="X119" s="348"/>
      <c r="Y119" s="349"/>
      <c r="Z119" s="350" t="str">
        <f>IF(AND(COUNTIF(Z117:Z118,"=1")=SUM(Z117:Z118),SUM(Z117:Z118)&gt;1),"Decision is for the addition (simultaneous use) of effects marked with 1s",IF(SUMPRODUCT(Z117:Z118,Z117:Z118)&gt;2,"ERROR: bad weights",IF(OR(SUM(Z117:Z118)=1,SUM(Z117:Z118)=0),"Good weights","ERROR: weights do not add to 1 or 0")))</f>
        <v>Good weights</v>
      </c>
    </row>
    <row r="120" ht="13.5" thickBot="1">
      <c r="Z120" s="351"/>
    </row>
    <row r="121" spans="2:29" s="256" customFormat="1" ht="15.75" customHeight="1">
      <c r="B121" s="274" t="s">
        <v>243</v>
      </c>
      <c r="C121" s="275"/>
      <c r="D121" s="275"/>
      <c r="E121" s="276"/>
      <c r="F121" s="277"/>
      <c r="G121" s="277"/>
      <c r="H121" s="277"/>
      <c r="I121" s="277"/>
      <c r="J121" s="277"/>
      <c r="K121" s="277"/>
      <c r="L121" s="277"/>
      <c r="M121" s="277"/>
      <c r="N121" s="277"/>
      <c r="O121" s="277"/>
      <c r="P121" s="277"/>
      <c r="Q121" s="277"/>
      <c r="R121" s="277"/>
      <c r="S121" s="277"/>
      <c r="T121" s="277"/>
      <c r="U121" s="277"/>
      <c r="V121" s="277"/>
      <c r="W121" s="277"/>
      <c r="X121" s="277"/>
      <c r="Y121" s="278"/>
      <c r="AA121" s="229"/>
      <c r="AB121" s="280"/>
      <c r="AC121" s="280"/>
    </row>
    <row r="122" spans="1:26" ht="12.75" customHeight="1">
      <c r="A122" s="279"/>
      <c r="B122" s="252" t="s">
        <v>183</v>
      </c>
      <c r="C122" s="229"/>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79"/>
      <c r="Z122" s="257"/>
    </row>
    <row r="123" spans="1:26" ht="12.75" customHeight="1">
      <c r="A123" s="279"/>
      <c r="B123" s="252" t="s">
        <v>184</v>
      </c>
      <c r="C123" s="229"/>
      <c r="D123" s="280"/>
      <c r="E123" s="280"/>
      <c r="F123" s="280"/>
      <c r="G123" s="280"/>
      <c r="H123" s="280"/>
      <c r="I123" s="280"/>
      <c r="J123" s="280"/>
      <c r="K123" s="280"/>
      <c r="L123" s="280"/>
      <c r="M123" s="280"/>
      <c r="N123" s="280"/>
      <c r="O123" s="280"/>
      <c r="P123" s="280"/>
      <c r="Q123" s="280"/>
      <c r="T123" s="280"/>
      <c r="U123" s="280"/>
      <c r="V123" s="280"/>
      <c r="W123" s="280"/>
      <c r="X123" s="280"/>
      <c r="Y123" s="279"/>
      <c r="Z123" s="257"/>
    </row>
    <row r="124" spans="1:26" ht="12.75" customHeight="1">
      <c r="A124" s="256"/>
      <c r="B124" s="252" t="s">
        <v>202</v>
      </c>
      <c r="C124" s="229"/>
      <c r="D124" s="280"/>
      <c r="E124" s="280"/>
      <c r="F124" s="280"/>
      <c r="G124" s="280"/>
      <c r="H124" s="280"/>
      <c r="I124" s="280"/>
      <c r="J124" s="280"/>
      <c r="K124" s="280"/>
      <c r="L124" s="280"/>
      <c r="M124" s="280"/>
      <c r="N124" s="280"/>
      <c r="O124" s="280"/>
      <c r="P124" s="280"/>
      <c r="Q124" s="280"/>
      <c r="T124" s="256"/>
      <c r="U124" s="256"/>
      <c r="V124" s="256"/>
      <c r="W124" s="256"/>
      <c r="X124" s="256"/>
      <c r="Y124" s="279"/>
      <c r="Z124" s="257"/>
    </row>
    <row r="125" spans="1:26" ht="10.5" customHeight="1">
      <c r="A125" s="256"/>
      <c r="B125" s="281"/>
      <c r="C125" s="282"/>
      <c r="D125" s="282"/>
      <c r="E125" s="282"/>
      <c r="F125" s="282"/>
      <c r="G125" s="282"/>
      <c r="H125" s="282"/>
      <c r="I125" s="282"/>
      <c r="J125" s="282"/>
      <c r="K125" s="282"/>
      <c r="L125" s="282"/>
      <c r="M125" s="282"/>
      <c r="N125" s="282"/>
      <c r="O125" s="282"/>
      <c r="P125" s="282"/>
      <c r="Q125" s="282"/>
      <c r="R125" s="282"/>
      <c r="S125" s="282"/>
      <c r="T125" s="282"/>
      <c r="U125" s="282"/>
      <c r="V125" s="282"/>
      <c r="W125" s="282"/>
      <c r="X125" s="282"/>
      <c r="Y125" s="283"/>
      <c r="Z125" s="257"/>
    </row>
    <row r="126" spans="1:26" ht="12.75" customHeight="1">
      <c r="A126" s="256"/>
      <c r="B126" s="281"/>
      <c r="C126" s="284" t="s">
        <v>227</v>
      </c>
      <c r="D126" s="285"/>
      <c r="E126" s="285"/>
      <c r="F126" s="285"/>
      <c r="G126" s="285"/>
      <c r="H126" s="285"/>
      <c r="I126" s="285"/>
      <c r="J126" s="285"/>
      <c r="K126" s="285"/>
      <c r="L126" s="285"/>
      <c r="M126" s="285"/>
      <c r="N126" s="285"/>
      <c r="O126" s="285"/>
      <c r="P126" s="285"/>
      <c r="Q126" s="285"/>
      <c r="R126" s="285"/>
      <c r="S126" s="285"/>
      <c r="T126" s="285"/>
      <c r="U126" s="285"/>
      <c r="V126" s="285"/>
      <c r="W126" s="285"/>
      <c r="X126" s="286"/>
      <c r="Y126" s="283"/>
      <c r="Z126" s="257"/>
    </row>
    <row r="127" spans="1:26" ht="12.75" customHeight="1">
      <c r="A127" s="256"/>
      <c r="B127" s="287"/>
      <c r="C127" s="288"/>
      <c r="D127" s="289"/>
      <c r="E127" s="289"/>
      <c r="F127" s="289"/>
      <c r="G127" s="289"/>
      <c r="H127" s="289"/>
      <c r="I127" s="289"/>
      <c r="J127" s="290"/>
      <c r="K127" s="289"/>
      <c r="L127" s="290"/>
      <c r="M127" s="290" t="s">
        <v>244</v>
      </c>
      <c r="N127" s="291">
        <v>-0.03</v>
      </c>
      <c r="O127" s="291">
        <v>0.42</v>
      </c>
      <c r="P127" s="292" t="s">
        <v>245</v>
      </c>
      <c r="Q127" s="292"/>
      <c r="R127" s="289"/>
      <c r="S127" s="289"/>
      <c r="T127" s="289"/>
      <c r="U127" s="289"/>
      <c r="V127" s="289"/>
      <c r="W127" s="289"/>
      <c r="X127" s="293"/>
      <c r="Y127" s="283"/>
      <c r="Z127" s="257"/>
    </row>
    <row r="128" spans="1:26" ht="12.75" customHeight="1">
      <c r="A128" s="256"/>
      <c r="B128" s="287"/>
      <c r="C128" s="294" t="s">
        <v>246</v>
      </c>
      <c r="D128" s="292"/>
      <c r="E128" s="289"/>
      <c r="F128" s="289"/>
      <c r="G128" s="289"/>
      <c r="H128" s="289"/>
      <c r="I128" s="289"/>
      <c r="J128" s="290"/>
      <c r="K128" s="289"/>
      <c r="L128" s="290"/>
      <c r="M128" s="290"/>
      <c r="N128" s="295"/>
      <c r="O128" s="289"/>
      <c r="P128" s="289"/>
      <c r="Q128" s="292"/>
      <c r="R128" s="289"/>
      <c r="S128" s="289"/>
      <c r="T128" s="289"/>
      <c r="U128" s="289"/>
      <c r="V128" s="289"/>
      <c r="W128" s="289"/>
      <c r="X128" s="293"/>
      <c r="Y128" s="283"/>
      <c r="Z128" s="257"/>
    </row>
    <row r="129" spans="1:26" ht="12.75" customHeight="1">
      <c r="A129" s="256"/>
      <c r="B129" s="287"/>
      <c r="C129" s="288"/>
      <c r="D129" s="289"/>
      <c r="E129" s="289"/>
      <c r="F129" s="289"/>
      <c r="G129" s="290" t="s">
        <v>231</v>
      </c>
      <c r="H129" s="296">
        <f>(N127-N140)^2+(O127-O140)^2</f>
        <v>0.08793963852862569</v>
      </c>
      <c r="I129" s="289" t="s">
        <v>247</v>
      </c>
      <c r="J129" s="289"/>
      <c r="K129" s="289"/>
      <c r="L129" s="289"/>
      <c r="M129" s="289"/>
      <c r="N129" s="289"/>
      <c r="O129" s="289"/>
      <c r="P129" s="289"/>
      <c r="Q129" s="289"/>
      <c r="R129" s="289"/>
      <c r="S129" s="289"/>
      <c r="T129" s="289"/>
      <c r="U129" s="289"/>
      <c r="V129" s="289"/>
      <c r="W129" s="289"/>
      <c r="X129" s="293"/>
      <c r="Y129" s="283"/>
      <c r="Z129" s="257"/>
    </row>
    <row r="130" spans="1:26" ht="12.75" customHeight="1">
      <c r="A130" s="256"/>
      <c r="B130" s="287"/>
      <c r="C130" s="288" t="s">
        <v>248</v>
      </c>
      <c r="D130" s="289"/>
      <c r="E130" s="289"/>
      <c r="F130" s="289"/>
      <c r="G130" s="290"/>
      <c r="H130" s="290"/>
      <c r="I130" s="289"/>
      <c r="J130" s="289"/>
      <c r="K130" s="289"/>
      <c r="L130" s="289"/>
      <c r="M130" s="289"/>
      <c r="N130" s="289"/>
      <c r="O130" s="289"/>
      <c r="P130" s="289"/>
      <c r="Q130" s="289"/>
      <c r="R130" s="289"/>
      <c r="S130" s="289"/>
      <c r="T130" s="289"/>
      <c r="U130" s="289"/>
      <c r="V130" s="289"/>
      <c r="W130" s="289"/>
      <c r="X130" s="293"/>
      <c r="Y130" s="283"/>
      <c r="Z130" s="257"/>
    </row>
    <row r="131" spans="1:26" ht="12.75" customHeight="1">
      <c r="A131" s="256"/>
      <c r="B131" s="287"/>
      <c r="C131" s="288" t="s">
        <v>249</v>
      </c>
      <c r="D131" s="289"/>
      <c r="E131" s="289"/>
      <c r="F131" s="289"/>
      <c r="G131" s="289"/>
      <c r="H131" s="289"/>
      <c r="I131" s="289"/>
      <c r="J131" s="289"/>
      <c r="K131" s="289"/>
      <c r="L131" s="289"/>
      <c r="M131" s="289"/>
      <c r="N131" s="290"/>
      <c r="O131" s="297"/>
      <c r="P131" s="289"/>
      <c r="Q131" s="289"/>
      <c r="R131" s="289"/>
      <c r="S131" s="289"/>
      <c r="T131" s="289"/>
      <c r="U131" s="289"/>
      <c r="V131" s="289"/>
      <c r="W131" s="289"/>
      <c r="X131" s="293"/>
      <c r="Y131" s="283"/>
      <c r="Z131" s="257"/>
    </row>
    <row r="132" spans="1:26" ht="12.75" customHeight="1">
      <c r="A132" s="256"/>
      <c r="B132" s="287"/>
      <c r="C132" s="298" t="s">
        <v>250</v>
      </c>
      <c r="D132" s="299"/>
      <c r="E132" s="299"/>
      <c r="F132" s="299"/>
      <c r="G132" s="299"/>
      <c r="H132" s="299"/>
      <c r="I132" s="299"/>
      <c r="J132" s="299"/>
      <c r="K132" s="299"/>
      <c r="L132" s="299"/>
      <c r="M132" s="299"/>
      <c r="N132" s="300"/>
      <c r="O132" s="301"/>
      <c r="P132" s="299"/>
      <c r="Q132" s="299"/>
      <c r="R132" s="299"/>
      <c r="S132" s="299"/>
      <c r="T132" s="299"/>
      <c r="U132" s="299"/>
      <c r="V132" s="299"/>
      <c r="W132" s="299"/>
      <c r="X132" s="302"/>
      <c r="Y132" s="283"/>
      <c r="Z132" s="257"/>
    </row>
    <row r="133" spans="2:25" ht="7.5" customHeight="1">
      <c r="B133" s="287"/>
      <c r="C133" s="303"/>
      <c r="D133" s="303"/>
      <c r="E133" s="304"/>
      <c r="F133" s="304"/>
      <c r="G133" s="304"/>
      <c r="H133" s="304"/>
      <c r="I133" s="304"/>
      <c r="J133" s="304"/>
      <c r="K133" s="304"/>
      <c r="L133" s="305"/>
      <c r="M133" s="304"/>
      <c r="N133" s="304"/>
      <c r="O133" s="304"/>
      <c r="P133" s="304"/>
      <c r="Q133" s="304"/>
      <c r="R133" s="304"/>
      <c r="S133" s="304"/>
      <c r="T133" s="304"/>
      <c r="U133" s="304"/>
      <c r="V133" s="304"/>
      <c r="W133" s="304"/>
      <c r="X133" s="304"/>
      <c r="Y133" s="306"/>
    </row>
    <row r="134" spans="1:26" ht="12.75" customHeight="1">
      <c r="A134" s="256"/>
      <c r="B134" s="287"/>
      <c r="C134" s="289" t="s">
        <v>220</v>
      </c>
      <c r="D134" s="410"/>
      <c r="E134" s="410"/>
      <c r="F134" s="410"/>
      <c r="G134" s="410"/>
      <c r="H134" s="410"/>
      <c r="I134" s="410"/>
      <c r="J134" s="410"/>
      <c r="K134" s="410"/>
      <c r="L134" s="410"/>
      <c r="M134" s="410"/>
      <c r="N134" s="410"/>
      <c r="O134" s="410"/>
      <c r="P134" s="410"/>
      <c r="Q134" s="410"/>
      <c r="R134" s="289"/>
      <c r="S134" s="289"/>
      <c r="T134" s="411"/>
      <c r="U134" s="411"/>
      <c r="V134" s="411"/>
      <c r="W134" s="411"/>
      <c r="X134" s="411"/>
      <c r="Y134" s="283"/>
      <c r="Z134" s="257"/>
    </row>
    <row r="135" spans="1:26" ht="12.75" customHeight="1">
      <c r="A135" s="256"/>
      <c r="B135" s="287"/>
      <c r="C135" s="289" t="s">
        <v>253</v>
      </c>
      <c r="D135" s="410"/>
      <c r="E135" s="410"/>
      <c r="F135" s="410"/>
      <c r="G135" s="410"/>
      <c r="H135" s="410"/>
      <c r="I135" s="410"/>
      <c r="J135" s="410"/>
      <c r="K135" s="410"/>
      <c r="L135" s="410"/>
      <c r="M135" s="410"/>
      <c r="N135" s="410"/>
      <c r="O135" s="410"/>
      <c r="P135" s="410"/>
      <c r="Q135" s="410"/>
      <c r="R135" s="289"/>
      <c r="S135" s="289"/>
      <c r="T135" s="411"/>
      <c r="U135" s="411"/>
      <c r="V135" s="411"/>
      <c r="W135" s="411"/>
      <c r="X135" s="411"/>
      <c r="Y135" s="283"/>
      <c r="Z135" s="257"/>
    </row>
    <row r="136" spans="2:29" ht="9" customHeight="1">
      <c r="B136" s="287"/>
      <c r="C136" s="282"/>
      <c r="D136" s="401"/>
      <c r="E136" s="282"/>
      <c r="F136" s="282"/>
      <c r="G136" s="282"/>
      <c r="H136" s="282"/>
      <c r="I136" s="282"/>
      <c r="J136" s="282"/>
      <c r="K136" s="282"/>
      <c r="L136" s="282"/>
      <c r="M136" s="282"/>
      <c r="N136" s="282"/>
      <c r="O136" s="282"/>
      <c r="P136" s="282"/>
      <c r="Q136" s="282"/>
      <c r="R136" s="282"/>
      <c r="S136" s="282"/>
      <c r="T136" s="282"/>
      <c r="U136" s="282"/>
      <c r="V136" s="282"/>
      <c r="W136" s="282"/>
      <c r="X136" s="282"/>
      <c r="Y136" s="307"/>
      <c r="AA136" s="228"/>
      <c r="AB136" s="228"/>
      <c r="AC136" s="228"/>
    </row>
    <row r="137" spans="2:31" ht="12.75" customHeight="1">
      <c r="B137" s="287"/>
      <c r="C137" s="401"/>
      <c r="D137" s="560" t="s">
        <v>206</v>
      </c>
      <c r="E137" s="561"/>
      <c r="F137" s="561"/>
      <c r="G137" s="561"/>
      <c r="H137" s="561"/>
      <c r="I137" s="561"/>
      <c r="J137" s="562"/>
      <c r="K137" s="563" t="s">
        <v>67</v>
      </c>
      <c r="L137" s="564"/>
      <c r="M137" s="560" t="s">
        <v>191</v>
      </c>
      <c r="N137" s="561"/>
      <c r="O137" s="561"/>
      <c r="P137" s="561"/>
      <c r="Q137" s="561"/>
      <c r="R137" s="562"/>
      <c r="S137" s="611" t="s">
        <v>64</v>
      </c>
      <c r="T137" s="566"/>
      <c r="U137" s="566"/>
      <c r="V137" s="566"/>
      <c r="W137" s="566"/>
      <c r="X137" s="567"/>
      <c r="Y137" s="307"/>
      <c r="AA137" s="228"/>
      <c r="AB137" s="228"/>
      <c r="AC137" s="228"/>
      <c r="AD137" s="228"/>
      <c r="AE137" s="228"/>
    </row>
    <row r="138" spans="2:30" ht="12.75" customHeight="1">
      <c r="B138" s="287"/>
      <c r="C138" s="568" t="s">
        <v>19</v>
      </c>
      <c r="D138" s="619" t="s">
        <v>30</v>
      </c>
      <c r="E138" s="412" t="s">
        <v>108</v>
      </c>
      <c r="F138" s="574" t="s">
        <v>194</v>
      </c>
      <c r="G138" s="575"/>
      <c r="H138" s="576"/>
      <c r="I138" s="621" t="s">
        <v>185</v>
      </c>
      <c r="J138" s="577"/>
      <c r="K138" s="413" t="s">
        <v>72</v>
      </c>
      <c r="L138" s="414" t="s">
        <v>73</v>
      </c>
      <c r="M138" s="315" t="s">
        <v>161</v>
      </c>
      <c r="N138" s="574" t="str">
        <f>J140&amp;"% compatibility limits"</f>
        <v>90% compatibility limits</v>
      </c>
      <c r="O138" s="575"/>
      <c r="P138" s="576"/>
      <c r="Q138" s="563" t="s">
        <v>162</v>
      </c>
      <c r="R138" s="564"/>
      <c r="S138" s="578" t="str">
        <f>"...beneficial or
substantially "&amp;K139</f>
        <v>...beneficial or
substantially +ive</v>
      </c>
      <c r="T138" s="579"/>
      <c r="U138" s="582" t="s">
        <v>70</v>
      </c>
      <c r="V138" s="583"/>
      <c r="W138" s="586" t="str">
        <f>"...harmful or 
substantially "&amp;L139</f>
        <v>...harmful or 
substantially –ive</v>
      </c>
      <c r="X138" s="587"/>
      <c r="Y138" s="590" t="s">
        <v>125</v>
      </c>
      <c r="Z138" s="615" t="s">
        <v>41</v>
      </c>
      <c r="AA138" s="228"/>
      <c r="AB138" s="229"/>
      <c r="AC138" s="229"/>
      <c r="AD138" s="228"/>
    </row>
    <row r="139" spans="2:32" ht="13.5" customHeight="1">
      <c r="B139" s="287"/>
      <c r="C139" s="569"/>
      <c r="D139" s="620"/>
      <c r="E139" s="318" t="s">
        <v>109</v>
      </c>
      <c r="F139" s="320" t="s">
        <v>15</v>
      </c>
      <c r="G139" s="320" t="s">
        <v>16</v>
      </c>
      <c r="H139" s="320" t="s">
        <v>101</v>
      </c>
      <c r="I139" s="321" t="s">
        <v>236</v>
      </c>
      <c r="J139" s="320" t="s">
        <v>163</v>
      </c>
      <c r="K139" s="322" t="str">
        <f>IF(ISBLANK(K140),"???",IF(K140&lt;0,"–ive","+ive"))</f>
        <v>+ive</v>
      </c>
      <c r="L139" s="415" t="str">
        <f>IF(TYPE(L140)=2,"???",IF(L140&lt;0,"–ive","+ive"))</f>
        <v>–ive</v>
      </c>
      <c r="M139" s="324" t="s">
        <v>164</v>
      </c>
      <c r="N139" s="320" t="s">
        <v>0</v>
      </c>
      <c r="O139" s="320" t="s">
        <v>1</v>
      </c>
      <c r="P139" s="312" t="s">
        <v>2</v>
      </c>
      <c r="Q139" s="324" t="s">
        <v>66</v>
      </c>
      <c r="R139" s="326" t="s">
        <v>138</v>
      </c>
      <c r="S139" s="613"/>
      <c r="T139" s="614"/>
      <c r="U139" s="584"/>
      <c r="V139" s="585"/>
      <c r="W139" s="588"/>
      <c r="X139" s="589"/>
      <c r="Y139" s="591"/>
      <c r="Z139" s="616"/>
      <c r="AA139" s="327" t="s">
        <v>106</v>
      </c>
      <c r="AB139" s="327" t="s">
        <v>107</v>
      </c>
      <c r="AC139" s="329" t="s">
        <v>110</v>
      </c>
      <c r="AD139" s="330" t="s">
        <v>111</v>
      </c>
      <c r="AE139" s="416" t="s">
        <v>143</v>
      </c>
      <c r="AF139" s="416" t="s">
        <v>144</v>
      </c>
    </row>
    <row r="140" spans="2:32" s="331" customFormat="1" ht="18" customHeight="1">
      <c r="B140" s="403"/>
      <c r="C140" s="332" t="s">
        <v>165</v>
      </c>
      <c r="D140" s="417">
        <v>0.004284745444116701</v>
      </c>
      <c r="E140" s="418">
        <v>4</v>
      </c>
      <c r="F140" s="419"/>
      <c r="G140" s="419"/>
      <c r="H140" s="420"/>
      <c r="I140" s="406">
        <v>90</v>
      </c>
      <c r="J140" s="594">
        <f>100-2*$G$19</f>
        <v>90</v>
      </c>
      <c r="K140" s="617">
        <v>0.1</v>
      </c>
      <c r="L140" s="598">
        <f>IF(ISBLANK(K140),"",-K140)</f>
        <v>-0.1</v>
      </c>
      <c r="M140" s="602">
        <f>FISHERINV(AD140)</f>
        <v>0.38581551928183244</v>
      </c>
      <c r="N140" s="602">
        <f>AF140+NORMSINV((100-J140)/200)*AE140</f>
        <v>0.0738715323389883</v>
      </c>
      <c r="O140" s="602">
        <f>AF140-NORMSINV((100-J140)/200)*AE140</f>
        <v>0.6977595062246766</v>
      </c>
      <c r="P140" s="602">
        <f>IF(ISBLANK(#REF!),"",(O140-N140)/2)</f>
        <v>0.3119439869428442</v>
      </c>
      <c r="Q140" s="603" t="str">
        <f>IF(ISBLANK(#REF!),"",IF(S140&lt;$I$19,IF(MAX(U140,W140)=U140,U141&amp;" trivial; don't use",W141&amp;" harmful; don't use"),IF(W140&lt;$E$19,S141&amp;" beneficial; consider using","unclear; don't use; get more data")))</f>
        <v>unclear; don't use; get more data</v>
      </c>
      <c r="R140" s="603" t="str">
        <f>IF(ISBLANK(#REF!),"",IF(MIN(S140,W140)&gt;$G$19,"unclear; get more data",IF(MAX(S140,U140,W140)=S140,S141&amp;" "&amp;K139,IF(MAX(S140,U140,W140)=U140,U141&amp;" trivial",W141&amp;" "&amp;L139))))</f>
        <v>likely +ive</v>
      </c>
      <c r="S140" s="336">
        <f>IF(K140&gt;0,NORMSDIST((AF140-K140)/AE140),1-NORMSDIST((AF140-K140)/AE140))*100</f>
        <v>93.41049852031519</v>
      </c>
      <c r="T140" s="337" t="s">
        <v>65</v>
      </c>
      <c r="U140" s="336">
        <f>IF(ISBLANK(#REF!),"",100-S140-W140)</f>
        <v>6.068639990869741</v>
      </c>
      <c r="V140" s="337" t="s">
        <v>65</v>
      </c>
      <c r="W140" s="336">
        <f>IF(L140&gt;0,NORMSDIST((AF140-L140)/AE140),1-NORMSDIST((AF140-L140)/AE140))*100</f>
        <v>0.520861488815072</v>
      </c>
      <c r="X140" s="337" t="s">
        <v>65</v>
      </c>
      <c r="Y140" s="338">
        <f>S140/(100-S140)/(W140/(100-W140))</f>
        <v>2707.4029492378854</v>
      </c>
      <c r="Z140" s="393">
        <f>1/AA140^2/(1/AA140^2+1/AA141^2)</f>
        <v>0.040000000000000015</v>
      </c>
      <c r="AA140" s="340">
        <f>IF(ISNUMBER(D140),IF(ISNUMBER(E140),1/SQRT(E140-3),IF(AND(ISNUMBER(H140),I140&gt;0),-(FISHER(D140+H140)-FISHER(D140-H140))/2/NORMSINV((100-I140)/200),IF(AND(ISNUMBER(G140),ISNUMBER(F140),I140&gt;0),-(FISHER(G140)-FISHER(F140))/2/NORMSINV((100-I140)/200),1/0))),"")</f>
        <v>1</v>
      </c>
      <c r="AB140" s="340">
        <f>IF(ISBLANK(D140),"",FISHER(D140))</f>
        <v>0.004284771665681518</v>
      </c>
      <c r="AC140" s="618">
        <f>IF(SUM(AA140:AA141)&gt;0,SQRT(SUMPRODUCT(AA140:AA141,AA140:AA141,Z140:Z141,Z140:Z141)),"")</f>
        <v>0.2</v>
      </c>
      <c r="AD140" s="618">
        <f>SUMPRODUCT(AB140:AB141,Z140:Z141)</f>
        <v>0.406874363852485</v>
      </c>
      <c r="AE140" s="622">
        <f>M140/(AD140/AC140)</f>
        <v>0.18964847803569776</v>
      </c>
      <c r="AF140" s="623">
        <f>M140</f>
        <v>0.38581551928183244</v>
      </c>
    </row>
    <row r="141" spans="2:32" s="331" customFormat="1" ht="18" customHeight="1">
      <c r="B141" s="403"/>
      <c r="C141" s="332" t="s">
        <v>166</v>
      </c>
      <c r="D141" s="417">
        <v>0.4</v>
      </c>
      <c r="E141" s="421">
        <v>27</v>
      </c>
      <c r="F141" s="417"/>
      <c r="G141" s="417"/>
      <c r="H141" s="334"/>
      <c r="I141" s="408">
        <f>I140</f>
        <v>90</v>
      </c>
      <c r="J141" s="595"/>
      <c r="K141" s="617"/>
      <c r="L141" s="599"/>
      <c r="M141" s="601"/>
      <c r="N141" s="601"/>
      <c r="O141" s="601"/>
      <c r="P141" s="601"/>
      <c r="Q141" s="603"/>
      <c r="R141" s="603"/>
      <c r="S141" s="605" t="str">
        <f>IF(S140&lt;$E$19,$D$19,IF(S140&lt;$G$19,$F$19,IF(S140&lt;$I$19,$H$19,IF(S140&lt;$K$19,$J$19,IF(S140&lt;$M$19,$L$19,IF(S140&lt;$O$19,$N$19,$P$19))))))</f>
        <v>likely</v>
      </c>
      <c r="T141" s="606"/>
      <c r="U141" s="605" t="str">
        <f>IF(U140&lt;$E$19,$D$19,IF(U140&lt;$G$19,$F$19,IF(U140&lt;$I$19,$H$19,IF(U140&lt;$K$19,$J$19,IF(U140&lt;$M$19,$L$19,IF(U140&lt;$O$19,$N$19,$P$19))))))</f>
        <v>unlikely</v>
      </c>
      <c r="V141" s="606"/>
      <c r="W141" s="605" t="str">
        <f>IF(W140&lt;$E$19,$D$19,IF(W140&lt;$G$19,$F$19,IF(W140&lt;$I$19,$H$19,IF(W140&lt;$K$19,$J$19,IF(W140&lt;$M$19,$L$19,IF(W140&lt;$O$19,$N$19,$P$19))))))</f>
        <v>very unlikely</v>
      </c>
      <c r="X141" s="606"/>
      <c r="Y141" s="343"/>
      <c r="Z141" s="393">
        <f>1-Z140</f>
        <v>0.96</v>
      </c>
      <c r="AA141" s="340">
        <f>IF(ISNUMBER(D141),IF(ISNUMBER(E141),1/SQRT(E141-3),IF(AND(ISNUMBER(H141),I141&gt;0),-(FISHER(D141+H141)-FISHER(D141-H141))/2/NORMSINV((100-I141)/200),IF(AND(ISNUMBER(G141),ISNUMBER(F141),I141&gt;0),-(FISHER(G141)-FISHER(F141))/2/NORMSINV((100-I141)/200),1/0))),"")</f>
        <v>0.20412414523193154</v>
      </c>
      <c r="AB141" s="340">
        <f>IF(ISBLANK(D141),"",FISHER(D141))</f>
        <v>0.42364893019360184</v>
      </c>
      <c r="AC141" s="618"/>
      <c r="AD141" s="618"/>
      <c r="AE141" s="622"/>
      <c r="AF141" s="623"/>
    </row>
    <row r="142" spans="2:26" ht="12" customHeight="1" thickBot="1">
      <c r="B142" s="409"/>
      <c r="C142" s="345"/>
      <c r="D142" s="345"/>
      <c r="E142" s="422"/>
      <c r="F142" s="345"/>
      <c r="G142" s="345"/>
      <c r="H142" s="345"/>
      <c r="I142" s="345"/>
      <c r="J142" s="345"/>
      <c r="K142" s="345"/>
      <c r="L142" s="345"/>
      <c r="M142" s="345"/>
      <c r="N142" s="345"/>
      <c r="O142" s="345"/>
      <c r="P142" s="345"/>
      <c r="Q142" s="347" t="str">
        <f>IF(AND(W140&gt;$E$19,Y140&gt;$I$19/$K$19/($E$19/$O$19)),"Less conservative clinical: '"&amp;S141&amp;" beneficial, consider using' because odds ratio is &gt;"&amp;ROUND($I$19/$K$19/($E$19/$O$19),1)&amp;".","")</f>
        <v>Less conservative clinical: 'likely beneficial, consider using' because odds ratio is &gt;66.3.</v>
      </c>
      <c r="R142" s="348"/>
      <c r="S142" s="348"/>
      <c r="T142" s="348"/>
      <c r="U142" s="348"/>
      <c r="V142" s="348"/>
      <c r="W142" s="348"/>
      <c r="X142" s="348"/>
      <c r="Y142" s="349"/>
      <c r="Z142" s="350" t="str">
        <f>IF(AND(COUNTIF(Z140:Z141,"=1")=SUM(Z140:Z141),SUM(Z140:Z141)&gt;1),"Decision is for the addition (simultaneous use) of effects marked with 1s",IF(SUMPRODUCT(Z140:Z141,Z140:Z141)&gt;2,"ERROR: bad weights",IF(OR(SUM(Z140:Z141)=1,SUM(Z140:Z141)=0),"Good weights","ERROR: weights do not add to 1 or 0")))</f>
        <v>Good weights</v>
      </c>
    </row>
    <row r="146" spans="13:14" ht="12.75">
      <c r="M146" s="423"/>
      <c r="N146" s="423"/>
    </row>
  </sheetData>
  <sheetProtection/>
  <mergeCells count="127">
    <mergeCell ref="AE140:AE141"/>
    <mergeCell ref="AF140:AF141"/>
    <mergeCell ref="S141:T141"/>
    <mergeCell ref="U141:V141"/>
    <mergeCell ref="W141:X141"/>
    <mergeCell ref="O140:O141"/>
    <mergeCell ref="P140:P141"/>
    <mergeCell ref="Q140:Q141"/>
    <mergeCell ref="R140:R141"/>
    <mergeCell ref="AC140:AC141"/>
    <mergeCell ref="AD140:AD141"/>
    <mergeCell ref="S138:T139"/>
    <mergeCell ref="U138:V139"/>
    <mergeCell ref="W138:X139"/>
    <mergeCell ref="Y138:Y139"/>
    <mergeCell ref="Z138:Z139"/>
    <mergeCell ref="J140:J141"/>
    <mergeCell ref="K140:K141"/>
    <mergeCell ref="L140:L141"/>
    <mergeCell ref="M140:M141"/>
    <mergeCell ref="N140:N141"/>
    <mergeCell ref="D137:J137"/>
    <mergeCell ref="K137:L137"/>
    <mergeCell ref="M137:R137"/>
    <mergeCell ref="S137:X137"/>
    <mergeCell ref="C138:C139"/>
    <mergeCell ref="D138:D139"/>
    <mergeCell ref="F138:H138"/>
    <mergeCell ref="I138:J138"/>
    <mergeCell ref="N138:P138"/>
    <mergeCell ref="Q138:R138"/>
    <mergeCell ref="O117:O118"/>
    <mergeCell ref="P117:P118"/>
    <mergeCell ref="Q117:Q118"/>
    <mergeCell ref="R117:R118"/>
    <mergeCell ref="AC117:AC118"/>
    <mergeCell ref="AD117:AD118"/>
    <mergeCell ref="S118:T118"/>
    <mergeCell ref="U118:V118"/>
    <mergeCell ref="W118:X118"/>
    <mergeCell ref="S115:T116"/>
    <mergeCell ref="U115:V116"/>
    <mergeCell ref="W115:X116"/>
    <mergeCell ref="Y115:Y116"/>
    <mergeCell ref="Z115:Z116"/>
    <mergeCell ref="J117:J118"/>
    <mergeCell ref="K117:K118"/>
    <mergeCell ref="L117:L118"/>
    <mergeCell ref="M117:M118"/>
    <mergeCell ref="N117:N118"/>
    <mergeCell ref="D115:D116"/>
    <mergeCell ref="E115:E116"/>
    <mergeCell ref="F115:H115"/>
    <mergeCell ref="I115:J115"/>
    <mergeCell ref="N115:P115"/>
    <mergeCell ref="Q115:R115"/>
    <mergeCell ref="AF86:AF87"/>
    <mergeCell ref="S87:T87"/>
    <mergeCell ref="U87:V87"/>
    <mergeCell ref="W87:X87"/>
    <mergeCell ref="E114:J114"/>
    <mergeCell ref="K114:L114"/>
    <mergeCell ref="M114:R114"/>
    <mergeCell ref="S114:X114"/>
    <mergeCell ref="O86:O87"/>
    <mergeCell ref="P86:P87"/>
    <mergeCell ref="Q86:Q87"/>
    <mergeCell ref="R86:R87"/>
    <mergeCell ref="AD86:AD87"/>
    <mergeCell ref="AE86:AE87"/>
    <mergeCell ref="S84:T85"/>
    <mergeCell ref="U84:V85"/>
    <mergeCell ref="W84:X85"/>
    <mergeCell ref="Y84:Y85"/>
    <mergeCell ref="Z84:Z85"/>
    <mergeCell ref="Q84:R84"/>
    <mergeCell ref="J86:J87"/>
    <mergeCell ref="K86:K87"/>
    <mergeCell ref="L86:L87"/>
    <mergeCell ref="M86:M87"/>
    <mergeCell ref="N86:N87"/>
    <mergeCell ref="C84:C85"/>
    <mergeCell ref="D84:D85"/>
    <mergeCell ref="E84:E85"/>
    <mergeCell ref="F84:H84"/>
    <mergeCell ref="I84:J84"/>
    <mergeCell ref="T61:U61"/>
    <mergeCell ref="T62:U62"/>
    <mergeCell ref="D83:J83"/>
    <mergeCell ref="K83:L83"/>
    <mergeCell ref="M83:R83"/>
    <mergeCell ref="S83:X83"/>
    <mergeCell ref="Q55:Q56"/>
    <mergeCell ref="R55:R56"/>
    <mergeCell ref="AC55:AC56"/>
    <mergeCell ref="AD55:AD56"/>
    <mergeCell ref="AE55:AE56"/>
    <mergeCell ref="S56:T56"/>
    <mergeCell ref="U56:V56"/>
    <mergeCell ref="W56:X56"/>
    <mergeCell ref="W53:X54"/>
    <mergeCell ref="Y53:Y54"/>
    <mergeCell ref="Z53:Z54"/>
    <mergeCell ref="J55:J56"/>
    <mergeCell ref="K55:K56"/>
    <mergeCell ref="L55:L56"/>
    <mergeCell ref="M55:M56"/>
    <mergeCell ref="N55:N56"/>
    <mergeCell ref="O55:O56"/>
    <mergeCell ref="P55:P56"/>
    <mergeCell ref="M52:R52"/>
    <mergeCell ref="S52:X52"/>
    <mergeCell ref="C53:C54"/>
    <mergeCell ref="D53:D54"/>
    <mergeCell ref="E53:E54"/>
    <mergeCell ref="F53:H53"/>
    <mergeCell ref="I53:J53"/>
    <mergeCell ref="Q53:R53"/>
    <mergeCell ref="S53:T54"/>
    <mergeCell ref="U53:V54"/>
    <mergeCell ref="B10:K10"/>
    <mergeCell ref="B11:K11"/>
    <mergeCell ref="B12:K12"/>
    <mergeCell ref="B13:F13"/>
    <mergeCell ref="B4:E4"/>
    <mergeCell ref="D52:J52"/>
    <mergeCell ref="K52:L52"/>
  </mergeCells>
  <hyperlinks>
    <hyperlink ref="B10" location="'Bayesian analyses'!A1" display="1.  A Mean Effect and Other t-Distributed or Normally Distributed Effect Statistics"/>
    <hyperlink ref="B10:K10" location="'Bayesian analyses'!A60" display="1.  A Mean Effect and Other t-Distributed or Normally Distributed Effect Statistics"/>
    <hyperlink ref="B11:K11" location="'Bayesian analyses'!A91" display="2.  A Mean Effect as Above, but in Factor or Percent Units"/>
    <hyperlink ref="B12:K12" location="'Bayesian analyses'!A122" display="3.  A Rate, Odds, Hazard or Count Ratio or Other Log-Normally Distributed Effect Statistic"/>
    <hyperlink ref="B13:F13" location="'Bayesian analyses'!A148" display="4.  A Correlation Coefficient"/>
  </hyperlink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Auckland University of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Reviewer</dc:creator>
  <cp:keywords/>
  <dc:description/>
  <cp:lastModifiedBy>Will</cp:lastModifiedBy>
  <dcterms:created xsi:type="dcterms:W3CDTF">2006-12-03T21:03:08Z</dcterms:created>
  <dcterms:modified xsi:type="dcterms:W3CDTF">2023-03-02T20:23:47Z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dc88d9-fa17-47eb-a208-3e66f59d50e5_Enabled">
    <vt:lpwstr>true</vt:lpwstr>
  </property>
  <property fmtid="{D5CDD505-2E9C-101B-9397-08002B2CF9AE}" pid="3" name="MSIP_Label_d7dc88d9-fa17-47eb-a208-3e66f59d50e5_SetDate">
    <vt:lpwstr>2021-05-02T22:15:29Z</vt:lpwstr>
  </property>
  <property fmtid="{D5CDD505-2E9C-101B-9397-08002B2CF9AE}" pid="4" name="MSIP_Label_d7dc88d9-fa17-47eb-a208-3e66f59d50e5_Method">
    <vt:lpwstr>Standard</vt:lpwstr>
  </property>
  <property fmtid="{D5CDD505-2E9C-101B-9397-08002B2CF9AE}" pid="5" name="MSIP_Label_d7dc88d9-fa17-47eb-a208-3e66f59d50e5_Name">
    <vt:lpwstr>Internal</vt:lpwstr>
  </property>
  <property fmtid="{D5CDD505-2E9C-101B-9397-08002B2CF9AE}" pid="6" name="MSIP_Label_d7dc88d9-fa17-47eb-a208-3e66f59d50e5_SiteId">
    <vt:lpwstr>d51ba343-9258-4ea6-9907-426d8c84ec12</vt:lpwstr>
  </property>
  <property fmtid="{D5CDD505-2E9C-101B-9397-08002B2CF9AE}" pid="7" name="MSIP_Label_d7dc88d9-fa17-47eb-a208-3e66f59d50e5_ActionId">
    <vt:lpwstr>a04fba0d-cc09-4e5c-8160-eee40e9fbb85</vt:lpwstr>
  </property>
  <property fmtid="{D5CDD505-2E9C-101B-9397-08002B2CF9AE}" pid="8" name="MSIP_Label_d7dc88d9-fa17-47eb-a208-3e66f59d50e5_ContentBits">
    <vt:lpwstr>0</vt:lpwstr>
  </property>
</Properties>
</file>